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20181218-Galo\0-Datos\025-PCBE Cursos\40-Mód 4, Tarea 5 ECA\02-ACCORD\"/>
    </mc:Choice>
  </mc:AlternateContent>
  <bookViews>
    <workbookView xWindow="360" yWindow="120" windowWidth="11595" windowHeight="7245" tabRatio="564"/>
  </bookViews>
  <sheets>
    <sheet name="Inc Acumul" sheetId="1" r:id="rId1"/>
    <sheet name="NNT desde HR" sheetId="10" r:id="rId2"/>
    <sheet name="Dif Medias" sheetId="11" r:id="rId3"/>
    <sheet name="Tamaño por RR" sheetId="9" r:id="rId4"/>
    <sheet name="Doble 2x2 factorial" sheetId="7" r:id="rId5"/>
  </sheets>
  <definedNames>
    <definedName name="ArticleComments" localSheetId="0">'Inc Acumul'!#REF!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 i="11" l="1"/>
  <c r="K8" i="11"/>
  <c r="K9" i="11"/>
  <c r="K7" i="1" l="1"/>
  <c r="M7" i="1" s="1"/>
  <c r="K6" i="1"/>
  <c r="M6" i="1" s="1"/>
  <c r="D64" i="11" l="1"/>
  <c r="C64" i="11"/>
  <c r="D63" i="11"/>
  <c r="C63" i="11"/>
  <c r="D45" i="11"/>
  <c r="C45" i="11"/>
  <c r="D44" i="11"/>
  <c r="C44" i="11"/>
  <c r="E26" i="11"/>
  <c r="H26" i="11" s="1"/>
  <c r="I26" i="11" s="1"/>
  <c r="D26" i="11"/>
  <c r="C26" i="11"/>
  <c r="E25" i="11"/>
  <c r="D33" i="11" s="1"/>
  <c r="D25" i="11"/>
  <c r="C25" i="11"/>
  <c r="D19" i="11"/>
  <c r="E44" i="11" s="1"/>
  <c r="M18" i="11"/>
  <c r="H17" i="11"/>
  <c r="J15" i="11"/>
  <c r="K14" i="11"/>
  <c r="E15" i="11" s="1"/>
  <c r="D13" i="11"/>
  <c r="I48" i="11" s="1"/>
  <c r="E9" i="11"/>
  <c r="L9" i="11" s="1"/>
  <c r="C9" i="11"/>
  <c r="M19" i="11" s="1"/>
  <c r="D38" i="11" l="1"/>
  <c r="F44" i="11" s="1"/>
  <c r="C48" i="11"/>
  <c r="B51" i="11" s="1"/>
  <c r="B53" i="11" s="1"/>
  <c r="D28" i="11"/>
  <c r="G28" i="11" s="1"/>
  <c r="J48" i="11" s="1"/>
  <c r="H51" i="11" s="1"/>
  <c r="H53" i="11" s="1"/>
  <c r="D48" i="11"/>
  <c r="C51" i="11" s="1"/>
  <c r="C53" i="11" s="1"/>
  <c r="D66" i="11"/>
  <c r="E67" i="11" s="1"/>
  <c r="B69" i="11" s="1"/>
  <c r="B71" i="11" s="1"/>
  <c r="C65" i="11"/>
  <c r="G25" i="11"/>
  <c r="H25" i="11"/>
  <c r="I25" i="11" s="1"/>
  <c r="D9" i="11"/>
  <c r="M20" i="11"/>
  <c r="M21" i="11" s="1"/>
  <c r="M22" i="11" s="1"/>
  <c r="E17" i="11"/>
  <c r="F21" i="11" s="1"/>
  <c r="I21" i="11" s="1"/>
  <c r="G13" i="11"/>
  <c r="D32" i="11"/>
  <c r="F33" i="11"/>
  <c r="F32" i="11"/>
  <c r="J33" i="11" s="1"/>
  <c r="G26" i="11"/>
  <c r="J26" i="11" s="1"/>
  <c r="K26" i="11" s="1"/>
  <c r="B74" i="11" l="1"/>
  <c r="H34" i="11"/>
  <c r="C74" i="11"/>
  <c r="J25" i="11"/>
  <c r="K25" i="11" s="1"/>
  <c r="J17" i="11"/>
  <c r="F19" i="11" s="1"/>
  <c r="M23" i="11"/>
  <c r="H44" i="11"/>
  <c r="H48" i="11" s="1"/>
  <c r="F51" i="11" s="1"/>
  <c r="E42" i="11"/>
  <c r="E51" i="11" s="1"/>
  <c r="G45" i="11"/>
  <c r="G48" i="11" s="1"/>
  <c r="I36" i="11"/>
  <c r="H33" i="11"/>
  <c r="E34" i="11" s="1"/>
  <c r="I32" i="11"/>
  <c r="L26" i="11"/>
  <c r="H19" i="11" l="1"/>
  <c r="E46" i="11" s="1"/>
  <c r="L25" i="11"/>
  <c r="N28" i="11" s="1"/>
  <c r="M29" i="11" s="1"/>
  <c r="D35" i="11"/>
  <c r="E36" i="11" s="1"/>
  <c r="K36" i="11" s="1"/>
  <c r="D69" i="11"/>
  <c r="D71" i="11" s="1"/>
  <c r="C69" i="11"/>
  <c r="C71" i="11" s="1"/>
  <c r="E45" i="11"/>
  <c r="F40" i="11"/>
  <c r="I40" i="11" l="1"/>
  <c r="F42" i="11" s="1"/>
  <c r="E53" i="11" s="1"/>
  <c r="E48" i="11"/>
  <c r="D51" i="11" s="1"/>
  <c r="E71" i="11"/>
  <c r="D74" i="11" s="1"/>
  <c r="F38" i="11"/>
  <c r="F45" i="11" s="1"/>
  <c r="H38" i="11"/>
  <c r="F46" i="11" s="1"/>
  <c r="F48" i="11" l="1"/>
  <c r="D53" i="11" s="1"/>
  <c r="C54" i="1"/>
  <c r="B54" i="1"/>
  <c r="C13" i="1"/>
  <c r="C53" i="1"/>
  <c r="B53" i="1"/>
  <c r="D40" i="1"/>
  <c r="D39" i="1"/>
  <c r="D41" i="1" s="1"/>
  <c r="H21" i="1"/>
  <c r="B21" i="1"/>
  <c r="H20" i="1"/>
  <c r="B20" i="1"/>
  <c r="B22" i="1" s="1"/>
  <c r="E28" i="10"/>
  <c r="E27" i="10"/>
  <c r="D27" i="10"/>
  <c r="D30" i="10" s="1"/>
  <c r="D34" i="10" s="1"/>
  <c r="E26" i="10"/>
  <c r="F5" i="10"/>
  <c r="F10" i="10" s="1"/>
  <c r="I6" i="9"/>
  <c r="C15" i="9" s="1"/>
  <c r="E19" i="9"/>
  <c r="E18" i="9"/>
  <c r="M20" i="1" l="1"/>
  <c r="F21" i="1"/>
  <c r="F20" i="1"/>
  <c r="A21" i="1"/>
  <c r="C21" i="1" s="1"/>
  <c r="I21" i="1" s="1"/>
  <c r="A13" i="1"/>
  <c r="F13" i="1"/>
  <c r="J13" i="1" s="1"/>
  <c r="A20" i="1"/>
  <c r="C20" i="1" s="1"/>
  <c r="B55" i="1" s="1"/>
  <c r="B57" i="1" s="1"/>
  <c r="B61" i="1" s="1"/>
  <c r="E30" i="10"/>
  <c r="E34" i="10" s="1"/>
  <c r="F13" i="10"/>
  <c r="G14" i="10" s="1"/>
  <c r="F11" i="10"/>
  <c r="E10" i="10"/>
  <c r="G13" i="10" s="1"/>
  <c r="F28" i="10" s="1"/>
  <c r="D10" i="10"/>
  <c r="E15" i="9"/>
  <c r="C8" i="9"/>
  <c r="C16" i="9" s="1"/>
  <c r="F27" i="10" l="1"/>
  <c r="C55" i="1"/>
  <c r="C57" i="1" s="1"/>
  <c r="C61" i="1" s="1"/>
  <c r="D21" i="1"/>
  <c r="E21" i="1"/>
  <c r="K21" i="1" s="1"/>
  <c r="A22" i="1"/>
  <c r="C22" i="1" s="1"/>
  <c r="I25" i="1"/>
  <c r="E53" i="1" s="1"/>
  <c r="D20" i="1"/>
  <c r="E20" i="1"/>
  <c r="D53" i="1"/>
  <c r="I20" i="1"/>
  <c r="M22" i="1"/>
  <c r="E11" i="10"/>
  <c r="F14" i="10"/>
  <c r="F24" i="10" s="1"/>
  <c r="D11" i="10"/>
  <c r="C27" i="10" s="1"/>
  <c r="C30" i="10" s="1"/>
  <c r="C34" i="10" s="1"/>
  <c r="E13" i="10"/>
  <c r="G23" i="10"/>
  <c r="G18" i="10"/>
  <c r="G28" i="10"/>
  <c r="G21" i="10"/>
  <c r="G16" i="10"/>
  <c r="G17" i="10"/>
  <c r="G24" i="10"/>
  <c r="G19" i="10"/>
  <c r="G22" i="10"/>
  <c r="E16" i="9"/>
  <c r="C21" i="9"/>
  <c r="C17" i="9"/>
  <c r="E8" i="1"/>
  <c r="D7" i="1"/>
  <c r="D6" i="1"/>
  <c r="G5" i="7"/>
  <c r="G7" i="7" s="1"/>
  <c r="G6" i="7"/>
  <c r="F7" i="7"/>
  <c r="E7" i="7"/>
  <c r="D7" i="7"/>
  <c r="C7" i="7"/>
  <c r="O71" i="1"/>
  <c r="O72" i="1"/>
  <c r="O70" i="1"/>
  <c r="F18" i="10" l="1"/>
  <c r="F22" i="10"/>
  <c r="G27" i="10"/>
  <c r="F19" i="10"/>
  <c r="F16" i="10"/>
  <c r="F17" i="10"/>
  <c r="J21" i="1"/>
  <c r="K20" i="1"/>
  <c r="I26" i="1"/>
  <c r="F53" i="1" s="1"/>
  <c r="M21" i="1"/>
  <c r="M23" i="1" s="1"/>
  <c r="M24" i="1" s="1"/>
  <c r="G55" i="1" s="1"/>
  <c r="G57" i="1" s="1"/>
  <c r="G61" i="1" s="1"/>
  <c r="E8" i="7"/>
  <c r="F21" i="10"/>
  <c r="J20" i="1"/>
  <c r="K25" i="1" s="1"/>
  <c r="E54" i="1" s="1"/>
  <c r="B13" i="1"/>
  <c r="F23" i="10"/>
  <c r="F26" i="10"/>
  <c r="F30" i="10" s="1"/>
  <c r="F34" i="10" s="1"/>
  <c r="E14" i="10"/>
  <c r="E22" i="10" s="1"/>
  <c r="E17" i="9"/>
  <c r="C20" i="9" s="1"/>
  <c r="C22" i="9" s="1"/>
  <c r="C8" i="7"/>
  <c r="D8" i="1"/>
  <c r="C8" i="1"/>
  <c r="J25" i="1" l="1"/>
  <c r="J26" i="1" s="1"/>
  <c r="J31" i="1" s="1"/>
  <c r="I31" i="1"/>
  <c r="I29" i="1"/>
  <c r="I33" i="1"/>
  <c r="I34" i="1"/>
  <c r="I30" i="1"/>
  <c r="I36" i="1"/>
  <c r="I35" i="1"/>
  <c r="E55" i="1"/>
  <c r="E57" i="1" s="1"/>
  <c r="E61" i="1" s="1"/>
  <c r="I28" i="1"/>
  <c r="M25" i="1"/>
  <c r="K26" i="1"/>
  <c r="K31" i="1" s="1"/>
  <c r="C40" i="1"/>
  <c r="C45" i="1" s="1"/>
  <c r="C39" i="1"/>
  <c r="B39" i="1"/>
  <c r="B40" i="1"/>
  <c r="B45" i="1" s="1"/>
  <c r="D13" i="1"/>
  <c r="G13" i="1" s="1"/>
  <c r="E13" i="1"/>
  <c r="H13" i="1" s="1"/>
  <c r="J30" i="1"/>
  <c r="J29" i="1"/>
  <c r="E21" i="10"/>
  <c r="E24" i="10"/>
  <c r="E16" i="10"/>
  <c r="E17" i="10"/>
  <c r="G26" i="10"/>
  <c r="G30" i="10" s="1"/>
  <c r="G34" i="10" s="1"/>
  <c r="E23" i="10"/>
  <c r="E18" i="10"/>
  <c r="E19" i="10"/>
  <c r="G19" i="9"/>
  <c r="G20" i="9"/>
  <c r="E27" i="9"/>
  <c r="C23" i="9"/>
  <c r="V21" i="1"/>
  <c r="F54" i="1" l="1"/>
  <c r="K33" i="1"/>
  <c r="K35" i="1"/>
  <c r="K34" i="1"/>
  <c r="K36" i="1"/>
  <c r="J28" i="1"/>
  <c r="K30" i="1"/>
  <c r="K29" i="1"/>
  <c r="J33" i="1"/>
  <c r="J36" i="1"/>
  <c r="F55" i="1"/>
  <c r="F57" i="1" s="1"/>
  <c r="F61" i="1" s="1"/>
  <c r="J35" i="1"/>
  <c r="K28" i="1"/>
  <c r="J34" i="1"/>
  <c r="B41" i="1"/>
  <c r="J40" i="1"/>
  <c r="H39" i="1" s="1"/>
  <c r="B44" i="1"/>
  <c r="D55" i="1"/>
  <c r="L13" i="1"/>
  <c r="C41" i="1"/>
  <c r="C44" i="1"/>
  <c r="D54" i="1"/>
  <c r="D57" i="1" s="1"/>
  <c r="D61" i="1" s="1"/>
  <c r="K13" i="1"/>
  <c r="V20" i="1"/>
  <c r="V22" i="1" s="1"/>
  <c r="V23" i="1" s="1"/>
  <c r="V24" i="1" s="1"/>
  <c r="B47" i="1" l="1"/>
  <c r="B48" i="1" l="1"/>
  <c r="I61" i="1" s="1"/>
  <c r="F45" i="1"/>
</calcChain>
</file>

<file path=xl/sharedStrings.xml><?xml version="1.0" encoding="utf-8"?>
<sst xmlns="http://schemas.openxmlformats.org/spreadsheetml/2006/main" count="612" uniqueCount="455">
  <si>
    <t>Límite inferior del IC</t>
  </si>
  <si>
    <t>Límite superior del IC</t>
  </si>
  <si>
    <t>Sin eventos</t>
  </si>
  <si>
    <t>Con eventos</t>
  </si>
  <si>
    <t>Nº con evento</t>
  </si>
  <si>
    <t>RR</t>
  </si>
  <si>
    <t>Z α/2 (0,05)</t>
  </si>
  <si>
    <t>pM = proporción "media" de los eventos = nº total eventos / nº suma de ambos grupos; qM= complementario</t>
  </si>
  <si>
    <t>Los límites del intervalos de confianza son los exponentes neperianos o antilogaritmos de la ecuación [ ln RR +- Z α/2 x EE (ln RR) ]</t>
  </si>
  <si>
    <t>C= 2(n+z^2)</t>
  </si>
  <si>
    <t>IC = (A+-B)/C</t>
  </si>
  <si>
    <t>A= 2*eventos + z^2</t>
  </si>
  <si>
    <t>p (proporción) = eventos / n</t>
  </si>
  <si>
    <t>Operar</t>
  </si>
  <si>
    <t>Primero se procede haciendo los IC de ambas proporciones por el método de Wilson, y después se aplica: IC = RAR - Raíz [(p1-Ls1)^2 + (Li2-p2)^2]  hasta RAR + Raíz [(p2-Ls2)^2 + (Li1-p1)^2]</t>
  </si>
  <si>
    <t xml:space="preserve">Mét. Newcombe, 1988 </t>
  </si>
  <si>
    <t>A continuación, se aplica: IC = RAR - Raíz [(p1-Li1)^2 + (Ls2-p2)^2]  hasta RAR + Raíz [(p2-Li2)^2 + (Ls1-p1)^2], cuidando colocar arriba la proporción mayor y abajo la menor</t>
  </si>
  <si>
    <t>CÁLCULO DE LA POTENCIA:</t>
  </si>
  <si>
    <t>n = nº de los que hay en cada grupo (ojo, no de la suma de ambos)</t>
  </si>
  <si>
    <t>d = diferencia de proporciones de ambos grupos o RAR</t>
  </si>
  <si>
    <t>probabliidad o riesgo de cometer un error β =&gt; probabilidad de no detectar una diferencia que sí exista.</t>
  </si>
  <si>
    <t>1 -β = potencia estadística resultante =&gt; probab de detectar una diferencia entre ambos, en caso de que exista</t>
  </si>
  <si>
    <t>Expuestos</t>
  </si>
  <si>
    <t>No expuestos</t>
  </si>
  <si>
    <t>a</t>
  </si>
  <si>
    <t>Enferman</t>
  </si>
  <si>
    <t>No enferman</t>
  </si>
  <si>
    <t>Total</t>
  </si>
  <si>
    <t>RAR =</t>
  </si>
  <si>
    <t>NNT =</t>
  </si>
  <si>
    <t>ln RR</t>
  </si>
  <si>
    <t>n (de muestra)</t>
  </si>
  <si>
    <t>Estimación puntual de la proporción</t>
  </si>
  <si>
    <t>Z α/2 = Dif Proporc / EE (Difer Proporc)</t>
  </si>
  <si>
    <t>Dif Proporc de ambos grupos =  RAR</t>
  </si>
  <si>
    <t xml:space="preserve">EE (Dif Proporc) = Raíz[ pm(1-pm)/n1] + [ pm(1-pm)/n2] = </t>
  </si>
  <si>
    <t>Aunque es mejor calcularlo por ji^2 de Pearson, puede utilizarse una aproximación al cálculo de la "p de la diferencia"</t>
  </si>
  <si>
    <t>Coinciden z^2 de una distribución normal tipificada (=&gt; muestras grandes) con ji^2 con un grado de libertad (EA, pág 254)</t>
  </si>
  <si>
    <t>Cálculo del intervalo de confianza (IC) cada una de las dos proporciones (Riesgo absoluto de la intervención y Riesgo absoluto del control)</t>
  </si>
  <si>
    <t>Totales</t>
  </si>
  <si>
    <t xml:space="preserve">χ² teórico alfa 0,05, y 1 g.l = </t>
  </si>
  <si>
    <t>Grados de libertad = (Nº filas - 1 ) x (Nº columnas -1) =</t>
  </si>
  <si>
    <t>Esperadas</t>
  </si>
  <si>
    <t>Si χ² cal &lt; χ² teórico =&gt;</t>
  </si>
  <si>
    <t>Se acepta Ho =&gt; existe homogeneidad o independencia de la intervención estudiada</t>
  </si>
  <si>
    <t>Si χ² cal &gt; χ² teórico =&gt;</t>
  </si>
  <si>
    <t>Se rechaza Ho =&gt; existe heterogenicidad o dependencia de la intervención estudiada</t>
  </si>
  <si>
    <t>χ² cal - χ² teórico =</t>
  </si>
  <si>
    <t>χ² cal=</t>
  </si>
  <si>
    <t>χ² cal= Suma [(ao-ae)^2/ae +(bo-be)^2/be + (co-ce)^2/ce + (do-de)^2/de)]</t>
  </si>
  <si>
    <t>Chi cuadrado de Pearson (un ejemplo de variable cualitativa)</t>
  </si>
  <si>
    <t>Es &lt; 0 =&gt;Acepto Ho =&gt; Homogeneidad o independencia (o tratamiento no eficaz)</t>
  </si>
  <si>
    <t>Es &gt; 0 =&gt;Rechazo Ho =&gt; Heterogenicidad o dependencia (o tratamiento eficaz)</t>
  </si>
  <si>
    <t>χ² cal= Sumat (observado i - esperado i)^2 / esperado i)</t>
  </si>
  <si>
    <t>Permanecerán sanos sin tomar el fármaco</t>
  </si>
  <si>
    <t>Enfermarán incluso tomando el fármaco</t>
  </si>
  <si>
    <t>Z α/2 = Dif Proporc / EE Dif proporc</t>
  </si>
  <si>
    <t>n (cada grupo) =</t>
  </si>
  <si>
    <t>2n (total) =</t>
  </si>
  <si>
    <t xml:space="preserve">Siguendo en mismo razonamiento que antes: </t>
  </si>
  <si>
    <t>qA</t>
  </si>
  <si>
    <t>qB</t>
  </si>
  <si>
    <t>qM</t>
  </si>
  <si>
    <t>Para un error alfa</t>
  </si>
  <si>
    <t>=&gt; z α/2 =</t>
  </si>
  <si>
    <t>Para un error beta</t>
  </si>
  <si>
    <t>=&gt; zβ =</t>
  </si>
  <si>
    <t>RRR</t>
  </si>
  <si>
    <t xml:space="preserve">NNT = 1 / RAR = </t>
  </si>
  <si>
    <t>---------------------------------------------&gt;</t>
  </si>
  <si>
    <t>RAR (IC 95%)</t>
  </si>
  <si>
    <t>NNT (IC 95%)</t>
  </si>
  <si>
    <t>α = probab de que la diferencia detectada entre ambos sea debida al azar, en caso de que no exista (error alfa)</t>
  </si>
  <si>
    <t>(</t>
  </si>
  <si>
    <t>)</t>
  </si>
  <si>
    <t>-</t>
  </si>
  <si>
    <t>%</t>
  </si>
  <si>
    <t>RR (IC 95%)</t>
  </si>
  <si>
    <t>RAR (IC95%)</t>
  </si>
  <si>
    <t>HR (IC 95%)</t>
  </si>
  <si>
    <t>% Eventos interv = complementario:</t>
  </si>
  <si>
    <t>NNT</t>
  </si>
  <si>
    <t>/</t>
  </si>
  <si>
    <t xml:space="preserve">en </t>
  </si>
  <si>
    <t>…….</t>
  </si>
  <si>
    <t>años</t>
  </si>
  <si>
    <t>RAR</t>
  </si>
  <si>
    <t>potencia</t>
  </si>
  <si>
    <t>Potencia</t>
  </si>
  <si>
    <t>Permanecerán sanos por tomar el fármaco</t>
  </si>
  <si>
    <t>Enfermarán por tomar el fármaco</t>
  </si>
  <si>
    <t>Enfermarán incluso sin tomar el fármaco</t>
  </si>
  <si>
    <t>APLICAR SÓLO SI EL NNT Y SUS IC SON POSITIVOS</t>
  </si>
  <si>
    <t>====&gt;  NNT</t>
  </si>
  <si>
    <t>APLICAR SÓLO SI EL NNT Y SUS IC SON NEGATIVOS</t>
  </si>
  <si>
    <t>====&gt;  NND</t>
  </si>
  <si>
    <t>Permanecerán sanos sin tomar el Mto de Intervención</t>
  </si>
  <si>
    <t>Enfermarán por tomar el Mto de Intervención</t>
  </si>
  <si>
    <t>Enfermarán incluso sin tomar el Mto de Intervención</t>
  </si>
  <si>
    <t>Permanecerán sanos por tomar el Mto de Intervención</t>
  </si>
  <si>
    <t>Enfermarán incluso tomando el Mto de Intervención</t>
  </si>
  <si>
    <t>Cálculo del IC del RAR y del NNT</t>
  </si>
  <si>
    <t xml:space="preserve"> </t>
  </si>
  <si>
    <t>Nº event Interv (%)</t>
  </si>
  <si>
    <t>Nº event Control (%)</t>
  </si>
  <si>
    <t>% RA interv</t>
  </si>
  <si>
    <t>% RA control</t>
  </si>
  <si>
    <t>0,95 (0,82-1,09)</t>
  </si>
  <si>
    <t>VARIABLES SECUNDARIAS</t>
  </si>
  <si>
    <t>Muerte por cualquier causa</t>
  </si>
  <si>
    <t>Muerte por causa CV</t>
  </si>
  <si>
    <t>1,35 (1,04-1,76)</t>
  </si>
  <si>
    <t>1,43 (1,11-1,86)</t>
  </si>
  <si>
    <t xml:space="preserve">IAM no fatal </t>
  </si>
  <si>
    <t>0,76 (0,62-0,92)</t>
  </si>
  <si>
    <t>ACV no fatal</t>
  </si>
  <si>
    <t>1,06 (0,75-1,50)</t>
  </si>
  <si>
    <t>Insuf Card Congest fatal y no fatal</t>
  </si>
  <si>
    <t>1,18 (0,93-1,49)</t>
  </si>
  <si>
    <t>1,22 (0,97-1,55)</t>
  </si>
  <si>
    <t>-184 (1127 a -85)</t>
  </si>
  <si>
    <t>0,38% (-0,62% a 1,37%)</t>
  </si>
  <si>
    <t>0,96% (0,19% a 1,73%)</t>
  </si>
  <si>
    <t>-0,54% (-1,17% a 0,09%)</t>
  </si>
  <si>
    <t>[Mort CV o IAM o ACV]</t>
  </si>
  <si>
    <t>104 (58 a 535)</t>
  </si>
  <si>
    <t>1,22 (1,01-1,46)</t>
  </si>
  <si>
    <t>0,35% (0,12% a 0,55%)</t>
  </si>
  <si>
    <t>0,79 (0,65-0,95)</t>
  </si>
  <si>
    <t>289 (182 a 868)</t>
  </si>
  <si>
    <t>-0,02% (-0,18% a 0,09%)</t>
  </si>
  <si>
    <t>-4513 (1083 a -542)</t>
  </si>
  <si>
    <t>n = 5.128</t>
  </si>
  <si>
    <t>n = 5.123</t>
  </si>
  <si>
    <t>Estudio ACCORD (10y DM2), Seguimiento 3,5 años</t>
  </si>
  <si>
    <t>Accidente conduciendo vehículos</t>
  </si>
  <si>
    <t>Retención de líquidos</t>
  </si>
  <si>
    <t>538/5128 (10,49%)</t>
  </si>
  <si>
    <t>179/5123 (3,49%)</t>
  </si>
  <si>
    <t>-14 (-17 a -13)</t>
  </si>
  <si>
    <t>830/5128 (16,19%)</t>
  </si>
  <si>
    <t>261/5123 (5,09%)</t>
  </si>
  <si>
    <t>3,18 (2,78-3,63)</t>
  </si>
  <si>
    <t>-11,09% (-12,26% a -9,91%)</t>
  </si>
  <si>
    <t>-9 (-10 a -8)</t>
  </si>
  <si>
    <t>9/5033 (0,18%)</t>
  </si>
  <si>
    <t>14/5036 (0,28%)</t>
  </si>
  <si>
    <t>0,64 (0,28-1,48)</t>
  </si>
  <si>
    <t>0,1% (-0,11% a 0,3%)</t>
  </si>
  <si>
    <t>1008 (339 a -933)</t>
  </si>
  <si>
    <t>1,05 (1,02-1,08)</t>
  </si>
  <si>
    <t>1,96 (1,81-2,13)</t>
  </si>
  <si>
    <t>-7 (-8 a -7)</t>
  </si>
  <si>
    <t>113/5128 (2,2%)</t>
  </si>
  <si>
    <t>82/5123 (1,6%)</t>
  </si>
  <si>
    <t>1,38 (1,04-1,82)</t>
  </si>
  <si>
    <t>-0,6% (-1,13% a -0,07%)</t>
  </si>
  <si>
    <t>-166 (-1515 a -88)</t>
  </si>
  <si>
    <t>EFECTOS ADVERSOS DESPUÉS DE LA ALEATORIZACIÓN</t>
  </si>
  <si>
    <t>Ganan &gt;10 Kg peso desde el inicio</t>
  </si>
  <si>
    <t>3,00 (2,55-3,54)</t>
  </si>
  <si>
    <t>-7,00% (-7,97% a -6,01%)</t>
  </si>
  <si>
    <t>Hipoglucemia que requiere asist. médica</t>
  </si>
  <si>
    <t>Hipoglucemia que requiere alguna asist.</t>
  </si>
  <si>
    <t>Algún evento grave no por hipoglucemia</t>
  </si>
  <si>
    <t>-512 (-236 a -4477)</t>
  </si>
  <si>
    <t>-0,2% (-0,02% a -0,42%)</t>
  </si>
  <si>
    <t>441 (200 a -1105)</t>
  </si>
  <si>
    <t>VARIABLES INTERMEDIAS DE LABORATORIO</t>
  </si>
  <si>
    <t>GPT &gt; 3 LSN</t>
  </si>
  <si>
    <t>51/5065 (1,01%)</t>
  </si>
  <si>
    <t>77/5061 (1,52%)</t>
  </si>
  <si>
    <t>0,66 (0,47-0,94)</t>
  </si>
  <si>
    <t>0,51% (0,07% a 0,95%)</t>
  </si>
  <si>
    <t>194 (105 a 1461)</t>
  </si>
  <si>
    <t>Paciente de 62 años (DE 7) con DM2 10 años establecida y con enfermedad CV o al menos otro FRCV adicional.</t>
  </si>
  <si>
    <t xml:space="preserve"> Total </t>
  </si>
  <si>
    <t xml:space="preserve">120 mm Hg  </t>
  </si>
  <si>
    <t xml:space="preserve">140 mm Hg  </t>
  </si>
  <si>
    <t>Control intensivo Glu</t>
  </si>
  <si>
    <t>Control convencional Glu</t>
  </si>
  <si>
    <t xml:space="preserve"> Total  </t>
  </si>
  <si>
    <t>Diseño doble 2 x 2 factorial</t>
  </si>
  <si>
    <t>Grupo A</t>
  </si>
  <si>
    <t>Grupo B</t>
  </si>
  <si>
    <t>Estudio Presión Sanguínea</t>
  </si>
  <si>
    <t>Estudio Colesterol</t>
  </si>
  <si>
    <t>93,5 +- 18,7</t>
  </si>
  <si>
    <t>93,6 +- 18,7</t>
  </si>
  <si>
    <t>Peso Kg a los 3 años</t>
  </si>
  <si>
    <t>Peso Kg en el inicio</t>
  </si>
  <si>
    <t>VARIABLE PRIMARIA</t>
  </si>
  <si>
    <t>Hb1Ac en el inicio; Mediana</t>
  </si>
  <si>
    <t>Hb1Ac a los 3,5 años; Mediana (IQR)</t>
  </si>
  <si>
    <t>6,4% (6,1%-7,0)</t>
  </si>
  <si>
    <t>7,5% (7,1%-8,0%)</t>
  </si>
  <si>
    <t>pM (=proporción Media)</t>
  </si>
  <si>
    <t>[Mort CV, IAM o ACV]</t>
  </si>
  <si>
    <t>Suma de los eventos</t>
  </si>
  <si>
    <t>Según estos cálculos ¿cuándo debería pararse el estudio?</t>
  </si>
  <si>
    <t>Si potencia estadística = 89% =&gt; error beta = 100% - 89% = 11%</t>
  </si>
  <si>
    <t>Significación estadística = 5%</t>
  </si>
  <si>
    <t>-0,13% (-0,37% a 0,05%)</t>
  </si>
  <si>
    <t>-744 (1911 a -274)</t>
  </si>
  <si>
    <t>3541/5053 (70,08%)</t>
  </si>
  <si>
    <t>3378/5054 (66,84%)</t>
  </si>
  <si>
    <t>-3,24% (-5,05% a -1,43%)</t>
  </si>
  <si>
    <t>-31 (-70 a -20)</t>
  </si>
  <si>
    <t>1399/5036 (27,78%)</t>
  </si>
  <si>
    <t>713/5042 (14,14%)</t>
  </si>
  <si>
    <t>-13,64% (-15,21% a -12,08%)</t>
  </si>
  <si>
    <t>nº eventos (%);  Control intensivo</t>
  </si>
  <si>
    <t>nº eventos (%);  Control convencional</t>
  </si>
  <si>
    <r>
      <t>p</t>
    </r>
    <r>
      <rPr>
        <sz val="10"/>
        <color indexed="12"/>
        <rFont val="Calibri"/>
        <family val="2"/>
      </rPr>
      <t xml:space="preserve"> = eventos / n</t>
    </r>
  </si>
  <si>
    <r>
      <t xml:space="preserve">B= z * Raíz [z^2 + 4*eventos (1 - </t>
    </r>
    <r>
      <rPr>
        <i/>
        <sz val="10"/>
        <color indexed="12"/>
        <rFont val="Calibri"/>
        <family val="2"/>
      </rPr>
      <t>p</t>
    </r>
    <r>
      <rPr>
        <sz val="10"/>
        <color indexed="12"/>
        <rFont val="Calibri"/>
        <family val="2"/>
      </rPr>
      <t xml:space="preserve">)] </t>
    </r>
  </si>
  <si>
    <r>
      <t>Zβ = [Raíz (nd^2 /2</t>
    </r>
    <r>
      <rPr>
        <i/>
        <sz val="10"/>
        <rFont val="Calibri"/>
        <family val="2"/>
      </rPr>
      <t>p</t>
    </r>
    <r>
      <rPr>
        <sz val="10"/>
        <rFont val="Calibri"/>
        <family val="2"/>
      </rPr>
      <t>m*</t>
    </r>
    <r>
      <rPr>
        <i/>
        <sz val="10"/>
        <rFont val="Calibri"/>
        <family val="2"/>
      </rPr>
      <t>q</t>
    </r>
    <r>
      <rPr>
        <sz val="10"/>
        <rFont val="Calibri"/>
        <family val="2"/>
      </rPr>
      <t>m)] - Z α/2 (0,05)</t>
    </r>
  </si>
  <si>
    <r>
      <t xml:space="preserve">CÁLCULO DE LA </t>
    </r>
    <r>
      <rPr>
        <b/>
        <i/>
        <sz val="9"/>
        <rFont val="Calibri"/>
        <family val="2"/>
      </rPr>
      <t>p</t>
    </r>
  </si>
  <si>
    <r>
      <t>Zβ = [Raíz (nd^2 /2</t>
    </r>
    <r>
      <rPr>
        <i/>
        <sz val="10"/>
        <rFont val="Calibri"/>
        <family val="2"/>
      </rPr>
      <t>pM</t>
    </r>
    <r>
      <rPr>
        <sz val="10"/>
        <rFont val="Calibri"/>
        <family val="2"/>
      </rPr>
      <t>*</t>
    </r>
    <r>
      <rPr>
        <i/>
        <sz val="10"/>
        <rFont val="Calibri"/>
        <family val="2"/>
      </rPr>
      <t>qM</t>
    </r>
    <r>
      <rPr>
        <sz val="10"/>
        <rFont val="Calibri"/>
        <family val="2"/>
      </rPr>
      <t>)] - Z α/2 (0,05)</t>
    </r>
  </si>
  <si>
    <r>
      <t>Ls1:</t>
    </r>
    <r>
      <rPr>
        <sz val="10"/>
        <color indexed="12"/>
        <rFont val="Calibri"/>
        <family val="2"/>
      </rPr>
      <t xml:space="preserve"> límite superior del grupo 1; </t>
    </r>
    <r>
      <rPr>
        <b/>
        <sz val="10"/>
        <color indexed="12"/>
        <rFont val="Calibri"/>
        <family val="2"/>
      </rPr>
      <t xml:space="preserve">Li2: </t>
    </r>
    <r>
      <rPr>
        <sz val="10"/>
        <color indexed="12"/>
        <rFont val="Calibri"/>
        <family val="2"/>
      </rPr>
      <t>límite inferior del grupo 2</t>
    </r>
  </si>
  <si>
    <r>
      <t>Corresponde a</t>
    </r>
    <r>
      <rPr>
        <b/>
        <i/>
        <sz val="10"/>
        <rFont val="Calibri"/>
        <family val="2"/>
      </rPr>
      <t xml:space="preserve"> p</t>
    </r>
    <r>
      <rPr>
        <sz val="10"/>
        <rFont val="Calibri"/>
        <family val="2"/>
      </rPr>
      <t>=</t>
    </r>
  </si>
  <si>
    <r>
      <t xml:space="preserve">Valor de </t>
    </r>
    <r>
      <rPr>
        <i/>
        <sz val="10"/>
        <rFont val="Calibri"/>
        <family val="2"/>
      </rPr>
      <t xml:space="preserve">p </t>
    </r>
    <r>
      <rPr>
        <b/>
        <sz val="10"/>
        <rFont val="Calibri"/>
        <family val="2"/>
      </rPr>
      <t>para la diferencia</t>
    </r>
  </si>
  <si>
    <r>
      <t>S</t>
    </r>
    <r>
      <rPr>
        <vertAlign val="subscript"/>
        <sz val="10"/>
        <rFont val="Calibri"/>
        <family val="2"/>
      </rPr>
      <t>control</t>
    </r>
    <r>
      <rPr>
        <sz val="10"/>
        <rFont val="Calibri"/>
        <family val="2"/>
      </rPr>
      <t>=</t>
    </r>
  </si>
  <si>
    <r>
      <t>S</t>
    </r>
    <r>
      <rPr>
        <vertAlign val="subscript"/>
        <sz val="10"/>
        <rFont val="Calibri"/>
        <family val="2"/>
      </rPr>
      <t>control</t>
    </r>
    <r>
      <rPr>
        <vertAlign val="superscript"/>
        <sz val="10"/>
        <rFont val="Calibri"/>
        <family val="2"/>
      </rPr>
      <t>HR</t>
    </r>
  </si>
  <si>
    <r>
      <t xml:space="preserve">RAR = </t>
    </r>
    <r>
      <rPr>
        <i/>
        <sz val="10"/>
        <rFont val="Calibri"/>
        <family val="2"/>
      </rPr>
      <t>S</t>
    </r>
    <r>
      <rPr>
        <vertAlign val="subscript"/>
        <sz val="10"/>
        <rFont val="Calibri"/>
        <family val="2"/>
      </rPr>
      <t>interv</t>
    </r>
    <r>
      <rPr>
        <sz val="10"/>
        <rFont val="Calibri"/>
        <family val="2"/>
      </rPr>
      <t xml:space="preserve"> - </t>
    </r>
    <r>
      <rPr>
        <i/>
        <sz val="10"/>
        <rFont val="Calibri"/>
        <family val="2"/>
      </rPr>
      <t>S</t>
    </r>
    <r>
      <rPr>
        <vertAlign val="subscript"/>
        <sz val="10"/>
        <rFont val="Calibri"/>
        <family val="2"/>
      </rPr>
      <t xml:space="preserve">control </t>
    </r>
    <r>
      <rPr>
        <sz val="10"/>
        <rFont val="Calibri"/>
        <family val="2"/>
      </rPr>
      <t>=</t>
    </r>
  </si>
  <si>
    <t>Cálculo del tamaño necesario de la muestra</t>
  </si>
  <si>
    <t>DETERMINACIÓN DEL TAMAÑO DE MUESTRA EN CADA GRUPO DE ESTUDIO PARA LA COMPARACIÓN DE DOS PROPORCIONES.</t>
  </si>
  <si>
    <t>La proporción que debe usarse no es ni pA ni pB, sino la llamada porporción media (pM) = pA+pB/2, y así=&gt;</t>
  </si>
  <si>
    <t>CÁLCULO DEL TAMAÑO DE MUESTRA PARA UNA DIFERENCIA DE DOS PROPORCIONES</t>
  </si>
  <si>
    <t>% RA intervención</t>
  </si>
  <si>
    <t>Numerador</t>
  </si>
  <si>
    <t>Denominador</t>
  </si>
  <si>
    <t>Estudio ACCORD</t>
  </si>
  <si>
    <t>Subtotal</t>
  </si>
  <si>
    <t>Riesgo esperado en el grupo de control = 2,9%/año * 4,91 años = 14,24%</t>
  </si>
  <si>
    <t>Cálculo por incidencias acumuladas de RR, RAR, NNT con sus IC 95%, potencia estadística y valor de p</t>
  </si>
  <si>
    <t>1-α = probabilidad de dar por buena una diferencia que existe.</t>
  </si>
  <si>
    <t>CÁLCULOS EN incidencias acumuladas</t>
  </si>
  <si>
    <t>Intensivo, % eventos ajustados / año</t>
  </si>
  <si>
    <t>Convencional; % eventos crudos / año</t>
  </si>
  <si>
    <t>Cálculo de RAR y NNT a partir del HR y el % RA en el grupo control</t>
  </si>
  <si>
    <t>% RA control =</t>
  </si>
  <si>
    <t>100% - % RA control =</t>
  </si>
  <si>
    <t>Estimación puntual</t>
  </si>
  <si>
    <t>Límite inferior del IC 95%</t>
  </si>
  <si>
    <t>Límite superior del IC 95%</t>
  </si>
  <si>
    <t>0,9 (0,78-1,04)</t>
  </si>
  <si>
    <t>0,23% (-0,09% a 0,5%)</t>
  </si>
  <si>
    <t>NNT (IC 95%) por año</t>
  </si>
  <si>
    <t>-0,25% (-0,52% a -0,01%)</t>
  </si>
  <si>
    <t>-402 (-8823 a -192)</t>
  </si>
  <si>
    <t>RAR (IC 95%) por año</t>
  </si>
  <si>
    <t>NNT (IC 95%) en 3,5 años</t>
  </si>
  <si>
    <t>RAR (IC 95%) en 3,5 años</t>
  </si>
  <si>
    <t>Control Intensivo; nº eventos (%)</t>
  </si>
  <si>
    <t>Control Convencional; nº eventos (%)</t>
  </si>
  <si>
    <r>
      <t xml:space="preserve">Medidas del efecto </t>
    </r>
    <r>
      <rPr>
        <b/>
        <u/>
        <sz val="10"/>
        <rFont val="Calibri"/>
        <family val="2"/>
      </rPr>
      <t>POR AÑO</t>
    </r>
    <r>
      <rPr>
        <b/>
        <sz val="10"/>
        <rFont val="Calibri"/>
        <family val="2"/>
      </rPr>
      <t xml:space="preserve"> calculadas a partir de los HR obtenidos por los investigadores.</t>
    </r>
  </si>
  <si>
    <r>
      <t xml:space="preserve">Cálculo por incidencias acumuladas </t>
    </r>
    <r>
      <rPr>
        <b/>
        <u/>
        <sz val="12"/>
        <rFont val="Calibri"/>
        <family val="2"/>
      </rPr>
      <t>EN 3,5 AÑOS</t>
    </r>
  </si>
  <si>
    <t>Riesgo esperado en el grupo de intervención = 14,21% * 85% = 12,08%</t>
  </si>
  <si>
    <r>
      <t>Abreviaturas</t>
    </r>
    <r>
      <rPr>
        <sz val="10"/>
        <rFont val="Calibri"/>
        <family val="2"/>
      </rPr>
      <t xml:space="preserve">: </t>
    </r>
    <r>
      <rPr>
        <b/>
        <sz val="10"/>
        <rFont val="Calibri"/>
        <family val="2"/>
      </rPr>
      <t>RA</t>
    </r>
    <r>
      <rPr>
        <sz val="10"/>
        <rFont val="Calibri"/>
        <family val="2"/>
      </rPr>
      <t xml:space="preserve">: Riesgo Absoluto; </t>
    </r>
    <r>
      <rPr>
        <b/>
        <sz val="10"/>
        <rFont val="Calibri"/>
        <family val="2"/>
      </rPr>
      <t>Error alfa</t>
    </r>
    <r>
      <rPr>
        <sz val="10"/>
        <rFont val="Calibri"/>
        <family val="2"/>
      </rPr>
      <t xml:space="preserve">: significación estadística; </t>
    </r>
    <r>
      <rPr>
        <b/>
        <sz val="10"/>
        <rFont val="Calibri"/>
        <family val="2"/>
      </rPr>
      <t>Potencia estadística</t>
    </r>
    <r>
      <rPr>
        <sz val="10"/>
        <rFont val="Calibri"/>
        <family val="2"/>
      </rPr>
      <t xml:space="preserve"> = 1 - Error beta; </t>
    </r>
    <r>
      <rPr>
        <b/>
        <sz val="10"/>
        <rFont val="Calibri"/>
        <family val="2"/>
      </rPr>
      <t>n</t>
    </r>
    <r>
      <rPr>
        <sz val="10"/>
        <rFont val="Calibri"/>
        <family val="2"/>
      </rPr>
      <t>: número de pacientes necesario de cada uno de los grupos</t>
    </r>
  </si>
  <si>
    <t xml:space="preserve">RR = RAi / RAc =&gt; </t>
  </si>
  <si>
    <t>RAi = RR x RAc</t>
  </si>
  <si>
    <t>si se espera un RAc =</t>
  </si>
  <si>
    <t>durante</t>
  </si>
  <si>
    <t xml:space="preserve"> =&gt; que se espera un RAc =</t>
  </si>
  <si>
    <t>y se espera un RR =</t>
  </si>
  <si>
    <t>entonces RAi = RAc x RR =</t>
  </si>
  <si>
    <r>
      <t>n = 2pq</t>
    </r>
    <r>
      <rPr>
        <b/>
        <vertAlign val="superscript"/>
        <sz val="11"/>
        <rFont val="Calibri"/>
        <family val="2"/>
        <scheme val="minor"/>
      </rPr>
      <t>2</t>
    </r>
    <r>
      <rPr>
        <b/>
        <sz val="11"/>
        <rFont val="Calibri"/>
        <family val="2"/>
        <scheme val="minor"/>
      </rPr>
      <t xml:space="preserve"> (z</t>
    </r>
    <r>
      <rPr>
        <b/>
        <vertAlign val="subscript"/>
        <sz val="11"/>
        <rFont val="Calibri"/>
        <family val="2"/>
        <scheme val="minor"/>
      </rPr>
      <t>α/2</t>
    </r>
    <r>
      <rPr>
        <b/>
        <sz val="11"/>
        <rFont val="Calibri"/>
        <family val="2"/>
        <scheme val="minor"/>
      </rPr>
      <t xml:space="preserve"> + z</t>
    </r>
    <r>
      <rPr>
        <b/>
        <vertAlign val="subscript"/>
        <sz val="11"/>
        <rFont val="Calibri"/>
        <family val="2"/>
        <scheme val="minor"/>
      </rPr>
      <t>β</t>
    </r>
    <r>
      <rPr>
        <b/>
        <sz val="11"/>
        <rFont val="Calibri"/>
        <family val="2"/>
        <scheme val="minor"/>
      </rPr>
      <t>)</t>
    </r>
    <r>
      <rPr>
        <b/>
        <vertAlign val="superscript"/>
        <sz val="11"/>
        <rFont val="Calibri"/>
        <family val="2"/>
        <scheme val="minor"/>
      </rPr>
      <t>2</t>
    </r>
    <r>
      <rPr>
        <b/>
        <sz val="11"/>
        <rFont val="Calibri"/>
        <family val="2"/>
        <scheme val="minor"/>
      </rPr>
      <t xml:space="preserve"> / (pA - pB)</t>
    </r>
    <r>
      <rPr>
        <b/>
        <vertAlign val="superscript"/>
        <sz val="11"/>
        <rFont val="Calibri"/>
        <family val="2"/>
        <scheme val="minor"/>
      </rPr>
      <t>2</t>
    </r>
    <r>
      <rPr>
        <b/>
        <sz val="11"/>
        <rFont val="Calibri"/>
        <family val="2"/>
        <scheme val="minor"/>
      </rPr>
      <t xml:space="preserve"> </t>
    </r>
  </si>
  <si>
    <r>
      <t>n = 2* (pM * qM) * (z α/2 + zβ)</t>
    </r>
    <r>
      <rPr>
        <b/>
        <vertAlign val="superscript"/>
        <sz val="11"/>
        <rFont val="Calibri"/>
        <family val="2"/>
        <scheme val="minor"/>
      </rPr>
      <t>2</t>
    </r>
    <r>
      <rPr>
        <b/>
        <sz val="11"/>
        <rFont val="Calibri"/>
        <family val="2"/>
        <scheme val="minor"/>
      </rPr>
      <t xml:space="preserve"> / (pA - pB)</t>
    </r>
    <r>
      <rPr>
        <b/>
        <vertAlign val="superscript"/>
        <sz val="11"/>
        <rFont val="Calibri"/>
        <family val="2"/>
        <scheme val="minor"/>
      </rPr>
      <t>2</t>
    </r>
    <r>
      <rPr>
        <b/>
        <sz val="11"/>
        <rFont val="Calibri"/>
        <family val="2"/>
        <scheme val="minor"/>
      </rPr>
      <t xml:space="preserve"> </t>
    </r>
  </si>
  <si>
    <t xml:space="preserve">Si espero pérdidas del </t>
  </si>
  <si>
    <t>=&gt; Total =</t>
  </si>
  <si>
    <t>por grupo</t>
  </si>
  <si>
    <t>Nº eventos esperados en el grupo control = 14,24% * 5.091</t>
  </si>
  <si>
    <t>Nº eventos esperados en el grupo intervención = 12,10% * 5.091</t>
  </si>
  <si>
    <t>352/5128 (6,86%)</t>
  </si>
  <si>
    <t>371/5123 (7,24%)</t>
  </si>
  <si>
    <t>265 (73 a -162)</t>
  </si>
  <si>
    <t>257/5128 (5,01%)</t>
  </si>
  <si>
    <t>135/5128 (2,63%)</t>
  </si>
  <si>
    <t>94/5123 (1,83%)</t>
  </si>
  <si>
    <t>-0,8% (-1,37% a -0,22%)</t>
  </si>
  <si>
    <t>-125 (-459 a -73)</t>
  </si>
  <si>
    <t>186/5128 (3,63%)</t>
  </si>
  <si>
    <t>235/5123 (4,59%)</t>
  </si>
  <si>
    <t>152/5128 (2,96%)</t>
  </si>
  <si>
    <t>124/5123 (2,42%)</t>
  </si>
  <si>
    <t>Años = 3,5 + 1,41 = 4,91 años</t>
  </si>
  <si>
    <r>
      <t>Abreviaturas</t>
    </r>
    <r>
      <rPr>
        <sz val="10"/>
        <rFont val="Calibri"/>
        <family val="2"/>
      </rPr>
      <t xml:space="preserve">: </t>
    </r>
    <r>
      <rPr>
        <b/>
        <sz val="10"/>
        <rFont val="Calibri"/>
        <family val="2"/>
      </rPr>
      <t>RA</t>
    </r>
    <r>
      <rPr>
        <sz val="10"/>
        <rFont val="Calibri"/>
        <family val="2"/>
      </rPr>
      <t xml:space="preserve">: Riesgo Absoluto; </t>
    </r>
    <r>
      <rPr>
        <b/>
        <sz val="10"/>
        <rFont val="Calibri"/>
        <family val="2"/>
      </rPr>
      <t>HR</t>
    </r>
    <r>
      <rPr>
        <sz val="10"/>
        <rFont val="Calibri"/>
        <family val="2"/>
      </rPr>
      <t xml:space="preserve">: Hazard Ratio; </t>
    </r>
    <r>
      <rPr>
        <b/>
        <sz val="10"/>
        <rFont val="Calibri"/>
        <family val="2"/>
      </rPr>
      <t>RAR</t>
    </r>
    <r>
      <rPr>
        <sz val="10"/>
        <rFont val="Calibri"/>
        <family val="2"/>
      </rPr>
      <t xml:space="preserve">: Reducción Absoluta del Riesgo; </t>
    </r>
    <r>
      <rPr>
        <b/>
        <sz val="10"/>
        <rFont val="Calibri"/>
        <family val="2"/>
      </rPr>
      <t>NNT</t>
    </r>
    <r>
      <rPr>
        <sz val="10"/>
        <rFont val="Calibri"/>
        <family val="2"/>
      </rPr>
      <t xml:space="preserve">: Número Necesario a Tratar para evitar un evento; </t>
    </r>
    <r>
      <rPr>
        <b/>
        <sz val="10"/>
        <rFont val="Calibri"/>
        <family val="2"/>
      </rPr>
      <t>S</t>
    </r>
    <r>
      <rPr>
        <sz val="10"/>
        <rFont val="Calibri"/>
        <family val="2"/>
      </rPr>
      <t xml:space="preserve">: Supervivencia (= 100% - %RA); </t>
    </r>
    <r>
      <rPr>
        <b/>
        <sz val="10"/>
        <rFont val="Calibri"/>
        <family val="2"/>
      </rPr>
      <t>IC 95%</t>
    </r>
    <r>
      <rPr>
        <sz val="10"/>
        <rFont val="Calibri"/>
        <family val="2"/>
      </rPr>
      <t>: intervalo de confianza al 95%</t>
    </r>
  </si>
  <si>
    <r>
      <t>Log</t>
    </r>
    <r>
      <rPr>
        <vertAlign val="subscript"/>
        <sz val="10"/>
        <rFont val="Calibri"/>
        <family val="2"/>
      </rPr>
      <t>Sc</t>
    </r>
    <r>
      <rPr>
        <sz val="10"/>
        <rFont val="Calibri"/>
        <family val="2"/>
      </rPr>
      <t xml:space="preserve"> Si = HR</t>
    </r>
  </si>
  <si>
    <t>En excel procádase así: HR = LOG(Si;Sc)</t>
  </si>
  <si>
    <r>
      <t>Si = Sc</t>
    </r>
    <r>
      <rPr>
        <vertAlign val="superscript"/>
        <sz val="10"/>
        <rFont val="Calibri"/>
        <family val="2"/>
      </rPr>
      <t>HR</t>
    </r>
  </si>
  <si>
    <r>
      <t>1-RAi = (1-Rac)</t>
    </r>
    <r>
      <rPr>
        <vertAlign val="superscript"/>
        <sz val="10"/>
        <rFont val="Calibri"/>
        <family val="2"/>
      </rPr>
      <t>HR</t>
    </r>
  </si>
  <si>
    <t xml:space="preserve">RAi= 1- (1-RAc)^HR </t>
  </si>
  <si>
    <r>
      <t>Sc =  Si</t>
    </r>
    <r>
      <rPr>
        <vertAlign val="superscript"/>
        <sz val="10"/>
        <rFont val="Calibri"/>
        <family val="2"/>
      </rPr>
      <t>1/HR</t>
    </r>
    <r>
      <rPr>
        <sz val="10"/>
        <rFont val="Calibri"/>
        <family val="2"/>
      </rPr>
      <t xml:space="preserve"> </t>
    </r>
  </si>
  <si>
    <t>En excell procédase así: Sc = Potencia(Si;1/HR)</t>
  </si>
  <si>
    <t>EE del ln RR = Raíz (varianza del ln RR) = Raíz [b/ a(a+b)]+[d / c(c+d)]. También es igual a Raíz (1/a + 1/c - 1/a+b -1/c+d)</t>
  </si>
  <si>
    <t>EE del ln RR = Raíz (varianza del ln RR) = Raíz [b / a(a+b)]+[d/ c(c+d)]</t>
  </si>
  <si>
    <t>ln del LI IC</t>
  </si>
  <si>
    <t>ln del LS IC</t>
  </si>
  <si>
    <r>
      <t>Abreviaturas</t>
    </r>
    <r>
      <rPr>
        <sz val="10"/>
        <rFont val="Calibri"/>
        <family val="2"/>
      </rPr>
      <t xml:space="preserve">: </t>
    </r>
    <r>
      <rPr>
        <b/>
        <sz val="10"/>
        <rFont val="Calibri"/>
        <family val="2"/>
      </rPr>
      <t>RA</t>
    </r>
    <r>
      <rPr>
        <sz val="10"/>
        <rFont val="Calibri"/>
        <family val="2"/>
      </rPr>
      <t>: Riesgo Absoluto; R</t>
    </r>
    <r>
      <rPr>
        <b/>
        <sz val="10"/>
        <rFont val="Calibri"/>
        <family val="2"/>
      </rPr>
      <t>R</t>
    </r>
    <r>
      <rPr>
        <sz val="10"/>
        <rFont val="Calibri"/>
        <family val="2"/>
      </rPr>
      <t xml:space="preserve">: Riesgo Relativo; </t>
    </r>
    <r>
      <rPr>
        <b/>
        <sz val="10"/>
        <rFont val="Calibri"/>
        <family val="2"/>
      </rPr>
      <t>RAR</t>
    </r>
    <r>
      <rPr>
        <sz val="10"/>
        <rFont val="Calibri"/>
        <family val="2"/>
      </rPr>
      <t xml:space="preserve">: Reducción Absoluta del Riesgo; </t>
    </r>
    <r>
      <rPr>
        <b/>
        <sz val="10"/>
        <rFont val="Calibri"/>
        <family val="2"/>
      </rPr>
      <t>NNT</t>
    </r>
    <r>
      <rPr>
        <sz val="10"/>
        <rFont val="Calibri"/>
        <family val="2"/>
      </rPr>
      <t xml:space="preserve">: Número Necesario a Tratar para evitar un evento; </t>
    </r>
    <r>
      <rPr>
        <b/>
        <sz val="10"/>
        <rFont val="Calibri"/>
        <family val="2"/>
      </rPr>
      <t>IC 95%</t>
    </r>
    <r>
      <rPr>
        <sz val="10"/>
        <rFont val="Calibri"/>
        <family val="2"/>
      </rPr>
      <t>: intervalo de confianza al 95%</t>
    </r>
    <r>
      <rPr>
        <sz val="10"/>
        <color indexed="12"/>
        <rFont val="Calibri"/>
        <family val="2"/>
        <scheme val="minor"/>
      </rPr>
      <t>.</t>
    </r>
  </si>
  <si>
    <r>
      <t xml:space="preserve">Valor de </t>
    </r>
    <r>
      <rPr>
        <b/>
        <i/>
        <sz val="10"/>
        <rFont val="Calibri"/>
        <family val="2"/>
        <scheme val="minor"/>
      </rPr>
      <t>p</t>
    </r>
    <r>
      <rPr>
        <b/>
        <sz val="10"/>
        <rFont val="Calibri"/>
        <family val="2"/>
        <scheme val="minor"/>
      </rPr>
      <t xml:space="preserve"> para la diferencia</t>
    </r>
  </si>
  <si>
    <r>
      <rPr>
        <b/>
        <sz val="12"/>
        <color rgb="FF993300"/>
        <rFont val="Calibri"/>
        <family val="2"/>
        <scheme val="minor"/>
      </rPr>
      <t>Tabla 1:</t>
    </r>
    <r>
      <rPr>
        <b/>
        <sz val="12"/>
        <rFont val="Calibri"/>
        <family val="2"/>
        <scheme val="minor"/>
      </rPr>
      <t xml:space="preserve"> Paciente de 62 años (DE 7) con DM2 10 años establecida y con enfermedad CV o al menos otro FRCV adicional.</t>
    </r>
  </si>
  <si>
    <r>
      <rPr>
        <b/>
        <sz val="12"/>
        <color rgb="FF993300"/>
        <rFont val="Calibri"/>
        <family val="2"/>
        <scheme val="minor"/>
      </rPr>
      <t>Tabla 2:</t>
    </r>
    <r>
      <rPr>
        <b/>
        <sz val="12"/>
        <rFont val="Calibri"/>
        <family val="2"/>
        <scheme val="minor"/>
      </rPr>
      <t xml:space="preserve"> Porcentaje de eventos adversos promediados en 24 semanas, estudio ACCORD.</t>
    </r>
  </si>
  <si>
    <r>
      <rPr>
        <b/>
        <sz val="12"/>
        <color indexed="60"/>
        <rFont val="Calibri"/>
        <family val="2"/>
      </rPr>
      <t>Tabla 3:</t>
    </r>
    <r>
      <rPr>
        <b/>
        <sz val="12"/>
        <rFont val="Calibri"/>
        <family val="2"/>
      </rPr>
      <t xml:space="preserve"> Más variables intermedias, estudio ACCORD.</t>
    </r>
  </si>
  <si>
    <t>Control Intensivo</t>
  </si>
  <si>
    <t>Control Convencional</t>
  </si>
  <si>
    <t>Diferencia entre el inicio y el final</t>
  </si>
  <si>
    <t>Diferencia de Medias (IC) para dos grupos independientes</t>
  </si>
  <si>
    <r>
      <rPr>
        <b/>
        <sz val="10"/>
        <color indexed="12"/>
        <rFont val="Calibri"/>
        <family val="2"/>
        <scheme val="minor"/>
      </rPr>
      <t>Abreviaturas</t>
    </r>
    <r>
      <rPr>
        <sz val="10"/>
        <rFont val="Calibri"/>
        <family val="2"/>
        <scheme val="minor"/>
      </rPr>
      <t xml:space="preserve">: </t>
    </r>
    <r>
      <rPr>
        <b/>
        <sz val="10"/>
        <rFont val="Calibri"/>
        <family val="2"/>
        <scheme val="minor"/>
      </rPr>
      <t>Dif</t>
    </r>
    <r>
      <rPr>
        <sz val="10"/>
        <rFont val="Calibri"/>
        <family val="2"/>
        <scheme val="minor"/>
      </rPr>
      <t xml:space="preserve">: diferencia; </t>
    </r>
    <r>
      <rPr>
        <b/>
        <sz val="10"/>
        <rFont val="Calibri"/>
        <family val="2"/>
        <scheme val="minor"/>
      </rPr>
      <t>s</t>
    </r>
    <r>
      <rPr>
        <sz val="10"/>
        <rFont val="Calibri"/>
        <family val="2"/>
        <scheme val="minor"/>
      </rPr>
      <t xml:space="preserve">: Desviación Estándar (= Desv Est); IC 95%: intervalo de confianza al 95%; </t>
    </r>
    <r>
      <rPr>
        <b/>
        <sz val="10"/>
        <rFont val="Calibri"/>
        <family val="2"/>
        <scheme val="minor"/>
      </rPr>
      <t>n</t>
    </r>
    <r>
      <rPr>
        <sz val="10"/>
        <rFont val="Calibri"/>
        <family val="2"/>
        <scheme val="minor"/>
      </rPr>
      <t>: número de pacientes de cada grupo.</t>
    </r>
  </si>
  <si>
    <r>
      <rPr>
        <b/>
        <sz val="10"/>
        <color indexed="12"/>
        <rFont val="Calibri"/>
        <family val="2"/>
        <scheme val="minor"/>
      </rPr>
      <t>NOTA</t>
    </r>
    <r>
      <rPr>
        <b/>
        <sz val="10"/>
        <rFont val="Calibri"/>
        <family val="2"/>
        <scheme val="minor"/>
      </rPr>
      <t>:</t>
    </r>
    <r>
      <rPr>
        <sz val="10"/>
        <rFont val="Calibri"/>
        <family val="2"/>
        <scheme val="minor"/>
      </rPr>
      <t xml:space="preserve"> La fila que dice "Válido si homocedasticidad" es el test </t>
    </r>
    <r>
      <rPr>
        <i/>
        <sz val="10"/>
        <rFont val="Calibri"/>
        <family val="2"/>
        <scheme val="minor"/>
      </rPr>
      <t>t</t>
    </r>
    <r>
      <rPr>
        <sz val="10"/>
        <rFont val="Calibri"/>
        <family val="2"/>
        <scheme val="minor"/>
      </rPr>
      <t xml:space="preserve"> de Student, y "Válido si heterocedasticidad" es el test de Welch.</t>
    </r>
  </si>
  <si>
    <t>Media muestral</t>
  </si>
  <si>
    <t>s = Desv Est</t>
  </si>
  <si>
    <r>
      <t>n =  t</t>
    </r>
    <r>
      <rPr>
        <b/>
        <sz val="11"/>
        <color indexed="8"/>
        <rFont val="Calibri"/>
        <family val="2"/>
        <scheme val="minor"/>
      </rPr>
      <t>amaño muestra</t>
    </r>
  </si>
  <si>
    <r>
      <t xml:space="preserve"> </t>
    </r>
    <r>
      <rPr>
        <sz val="11"/>
        <color indexed="8"/>
        <rFont val="Calibri"/>
        <family val="2"/>
        <scheme val="minor"/>
      </rPr>
      <t>Muestra Población A</t>
    </r>
  </si>
  <si>
    <r>
      <t xml:space="preserve"> </t>
    </r>
    <r>
      <rPr>
        <sz val="11"/>
        <color indexed="8"/>
        <rFont val="Calibri"/>
        <family val="2"/>
        <scheme val="minor"/>
      </rPr>
      <t>Muestra Población B</t>
    </r>
  </si>
  <si>
    <t>Diferencia de medias</t>
  </si>
  <si>
    <t>SI SE CUMPLEN: a) Normalidad o n &gt; 30 (pues a partir de aquí se comportar como normal); y b) HOMOCEDASTICIDAD: varianzas aproximadamente iguales (que se comprueba con el test F)</t>
  </si>
  <si>
    <r>
      <t>t</t>
    </r>
    <r>
      <rPr>
        <b/>
        <sz val="11"/>
        <color indexed="12"/>
        <rFont val="Calibri"/>
        <family val="2"/>
        <scheme val="minor"/>
      </rPr>
      <t xml:space="preserve"> = (diferencia de medias) / EE (diferencia de medias). Todo consiste en dividir la diferencia observada por un término de error que estima la variabilidad biológica aleatoria</t>
    </r>
  </si>
  <si>
    <t>0)</t>
  </si>
  <si>
    <t>"Fmax"= S^2 mayor / S^2 menor=</t>
  </si>
  <si>
    <r>
      <t xml:space="preserve">p </t>
    </r>
    <r>
      <rPr>
        <sz val="11"/>
        <rFont val="Calibri"/>
        <family val="2"/>
        <scheme val="minor"/>
      </rPr>
      <t>"=DISTR.F("F obtenida;g.l)=</t>
    </r>
  </si>
  <si>
    <t>Si es superior a 0,05 =&gt; las varianzas son homogéneas</t>
  </si>
  <si>
    <t>1)</t>
  </si>
  <si>
    <r>
      <t>Se calcula la</t>
    </r>
    <r>
      <rPr>
        <b/>
        <sz val="11"/>
        <rFont val="Calibri"/>
        <family val="2"/>
        <scheme val="minor"/>
      </rPr>
      <t xml:space="preserve"> Varianza ponderada, que es la media ponderada entre las dos varianzas, que se ponderan por sus grados de libertad:</t>
    </r>
    <r>
      <rPr>
        <sz val="11"/>
        <rFont val="Calibri"/>
        <family val="2"/>
        <scheme val="minor"/>
      </rPr>
      <t xml:space="preserve"> S</t>
    </r>
    <r>
      <rPr>
        <i/>
        <sz val="11"/>
        <rFont val="Calibri"/>
        <family val="2"/>
        <scheme val="minor"/>
      </rPr>
      <t>dif</t>
    </r>
    <r>
      <rPr>
        <sz val="11"/>
        <rFont val="Calibri"/>
        <family val="2"/>
        <scheme val="minor"/>
      </rPr>
      <t xml:space="preserve">^2 = [S1^2 *(n1-1) + S2^2 * (n2-1)] / (n1+n2-2) = </t>
    </r>
  </si>
  <si>
    <t>Ojo: Ver si los dos grupos tienen el mismo tamaño, porque no sé qué sucede cuando tienen distinto</t>
  </si>
  <si>
    <r>
      <t xml:space="preserve">Desv Estándar Ponderada = S </t>
    </r>
    <r>
      <rPr>
        <b/>
        <i/>
        <sz val="11"/>
        <rFont val="Calibri"/>
        <family val="2"/>
        <scheme val="minor"/>
      </rPr>
      <t>dif</t>
    </r>
    <r>
      <rPr>
        <b/>
        <sz val="11"/>
        <rFont val="Calibri"/>
        <family val="2"/>
        <scheme val="minor"/>
      </rPr>
      <t xml:space="preserve"> =</t>
    </r>
  </si>
  <si>
    <t>"=Raiz(Sdif^2)=</t>
  </si>
  <si>
    <t>grados de libertad (n1+n2-2)=</t>
  </si>
  <si>
    <t>Asumo que es la desviación estándar de la dif de medias =Ponderada</t>
  </si>
  <si>
    <t xml:space="preserve">2) </t>
  </si>
  <si>
    <t>El IC = (media 1- media 2) +- t((n1+n2-2;α/2) * EE (diferencia de medias)</t>
  </si>
  <si>
    <r>
      <t>EE (dif de medias) = S</t>
    </r>
    <r>
      <rPr>
        <b/>
        <i/>
        <sz val="11"/>
        <rFont val="Calibri"/>
        <family val="2"/>
        <scheme val="minor"/>
      </rPr>
      <t>dif</t>
    </r>
    <r>
      <rPr>
        <b/>
        <sz val="11"/>
        <rFont val="Calibri"/>
        <family val="2"/>
        <scheme val="minor"/>
      </rPr>
      <t xml:space="preserve"> * Raiz([1/n1]+[1/n2]) =</t>
    </r>
  </si>
  <si>
    <r>
      <t>t</t>
    </r>
    <r>
      <rPr>
        <b/>
        <sz val="10"/>
        <rFont val="Calibri"/>
        <family val="2"/>
        <scheme val="minor"/>
      </rPr>
      <t xml:space="preserve"> </t>
    </r>
    <r>
      <rPr>
        <sz val="10"/>
        <rFont val="Calibri"/>
        <family val="2"/>
        <scheme val="minor"/>
      </rPr>
      <t>teórica</t>
    </r>
    <r>
      <rPr>
        <b/>
        <sz val="10"/>
        <rFont val="Calibri"/>
        <family val="2"/>
        <scheme val="minor"/>
      </rPr>
      <t>"</t>
    </r>
    <r>
      <rPr>
        <sz val="10"/>
        <rFont val="Calibri"/>
        <family val="2"/>
        <scheme val="minor"/>
      </rPr>
      <t xml:space="preserve">= </t>
    </r>
    <r>
      <rPr>
        <b/>
        <i/>
        <sz val="10"/>
        <rFont val="Calibri"/>
        <family val="2"/>
        <scheme val="minor"/>
      </rPr>
      <t xml:space="preserve"> t</t>
    </r>
    <r>
      <rPr>
        <vertAlign val="subscript"/>
        <sz val="10"/>
        <rFont val="Calibri"/>
        <family val="2"/>
        <scheme val="minor"/>
      </rPr>
      <t>(n1+n2-2; 1- α/2)</t>
    </r>
    <r>
      <rPr>
        <sz val="10"/>
        <rFont val="Calibri"/>
        <family val="2"/>
        <scheme val="minor"/>
      </rPr>
      <t xml:space="preserve"> =</t>
    </r>
  </si>
  <si>
    <t>IC =</t>
  </si>
  <si>
    <t>Zβ = [Raíz (n . d^2 /2 . S^2)] - Z α/2 (0,05)</t>
  </si>
  <si>
    <t>3)</t>
  </si>
  <si>
    <t>Diferencia medias =</t>
  </si>
  <si>
    <t xml:space="preserve">(IC 95%, </t>
  </si>
  <si>
    <t>d = diferencia de medias de ambos grupos</t>
  </si>
  <si>
    <t>S^2 dif medias elevada al cuadrado = Desv Estándar Ponderada (de la dif de medias) al cuadrado</t>
  </si>
  <si>
    <t>4)</t>
  </si>
  <si>
    <r>
      <t>t</t>
    </r>
    <r>
      <rPr>
        <b/>
        <sz val="11"/>
        <rFont val="Calibri"/>
        <family val="2"/>
        <scheme val="minor"/>
      </rPr>
      <t xml:space="preserve"> calc de la dif medias = (dif de medias) / EE (dif de medias)= </t>
    </r>
  </si>
  <si>
    <t>"========&gt;</t>
  </si>
  <si>
    <t xml:space="preserve">p = </t>
  </si>
  <si>
    <t>"=DISTR.T(t,grad lib;colas)</t>
  </si>
  <si>
    <t>Caso de heterocedasticidad (varianzas desiguales y muestras pequeñas).</t>
  </si>
  <si>
    <t>S =Desv Est</t>
  </si>
  <si>
    <r>
      <t>n=  t</t>
    </r>
    <r>
      <rPr>
        <sz val="11"/>
        <color indexed="8"/>
        <rFont val="Calibri"/>
        <family val="2"/>
        <scheme val="minor"/>
      </rPr>
      <t>amaño muestra</t>
    </r>
  </si>
  <si>
    <t xml:space="preserve">intervalo de confianza al </t>
  </si>
  <si>
    <t>EE</t>
  </si>
  <si>
    <t>Grados de libertad</t>
  </si>
  <si>
    <t>"t teórica α/2; g l.</t>
  </si>
  <si>
    <t>IC</t>
  </si>
  <si>
    <t>Lím Sup IC</t>
  </si>
  <si>
    <t>Lím Inf IC</t>
  </si>
  <si>
    <t>Casos</t>
  </si>
  <si>
    <t>Controles</t>
  </si>
  <si>
    <t>Zβ = (LS IC1 - Media 2) / EE2</t>
  </si>
  <si>
    <t>"Fmax"= S^2 mayor / S^2 menor =</t>
  </si>
  <si>
    <r>
      <t xml:space="preserve">p </t>
    </r>
    <r>
      <rPr>
        <sz val="11"/>
        <rFont val="Calibri"/>
        <family val="2"/>
      </rPr>
      <t>"=DISTR.F("F obtenida;g.l)=</t>
    </r>
  </si>
  <si>
    <t xml:space="preserve">Zβ = </t>
  </si>
  <si>
    <t xml:space="preserve">1) </t>
  </si>
  <si>
    <r>
      <t xml:space="preserve">En el test t de Student se usa una única varianza ponderada. Aquí se deben usar las varianzas de cada grupo separadamente para calcular el error estándar. </t>
    </r>
    <r>
      <rPr>
        <b/>
        <sz val="11"/>
        <rFont val="Calibri"/>
        <family val="2"/>
      </rPr>
      <t>EE = Raíz ( [S1^2/n1] + [S2^2/n2] )</t>
    </r>
  </si>
  <si>
    <r>
      <t xml:space="preserve">El IC para la diferencia de medias es: </t>
    </r>
    <r>
      <rPr>
        <b/>
        <sz val="11"/>
        <rFont val="Calibri"/>
        <family val="2"/>
      </rPr>
      <t>(X1-X2) ± t(gl; 1- α/2) × raiz ( [S1^2/n1] + [S2^2/n2] )</t>
    </r>
  </si>
  <si>
    <t>2)</t>
  </si>
  <si>
    <r>
      <t>Donde los grados de libertad "g" =</t>
    </r>
    <r>
      <rPr>
        <sz val="11"/>
        <rFont val="Calibri"/>
        <family val="2"/>
      </rPr>
      <t xml:space="preserve"> [ (S1^2 / n1) + (S2^2 / n2) ]^2  ]</t>
    </r>
    <r>
      <rPr>
        <b/>
        <sz val="14"/>
        <rFont val="Calibri"/>
        <family val="2"/>
      </rPr>
      <t xml:space="preserve"> / </t>
    </r>
    <r>
      <rPr>
        <sz val="11"/>
        <rFont val="Calibri"/>
        <family val="2"/>
      </rPr>
      <t>{ [ (S1^2 / n1)^2) / (n1+1) ] + [ (S2^2 / n2)^2) / (n2+1) ] }</t>
    </r>
  </si>
  <si>
    <t>Operando:</t>
  </si>
  <si>
    <t xml:space="preserve"> (S1^2  / n1)=</t>
  </si>
  <si>
    <t>(S2^2 / n2)=</t>
  </si>
  <si>
    <t>[ (S1^2 / n1) + (S2^2 / n2) ]^2 =</t>
  </si>
  <si>
    <t>(n1+1) =</t>
  </si>
  <si>
    <t>(n1+2)=</t>
  </si>
  <si>
    <t>(S1^2 / n1)^2 =</t>
  </si>
  <si>
    <t>(S^2 /n2)^2 =</t>
  </si>
  <si>
    <t>(S1^2 /n1)^2) / (n1+1) =</t>
  </si>
  <si>
    <t>(S2^2 /n2)^2 / (n2+1) =</t>
  </si>
  <si>
    <t>Y así los grados de libertad "g.l." =</t>
  </si>
  <si>
    <t>(se tomará el número más cercano al obtenido y se mira en la tabla el valor t)</t>
  </si>
  <si>
    <r>
      <t>"t teórica"</t>
    </r>
    <r>
      <rPr>
        <sz val="11"/>
        <rFont val="Calibri"/>
        <family val="2"/>
      </rPr>
      <t>=</t>
    </r>
  </si>
  <si>
    <t>"=DISTR.T.INV(0,05;"g,.l.") =</t>
  </si>
  <si>
    <r>
      <rPr>
        <b/>
        <sz val="10"/>
        <rFont val="Calibri"/>
        <family val="2"/>
      </rPr>
      <t>EE = Raíz ( [S1^2/n1] + [S2^2/n2] )</t>
    </r>
    <r>
      <rPr>
        <sz val="10"/>
        <rFont val="Calibri"/>
        <family val="2"/>
      </rPr>
      <t xml:space="preserve"> = </t>
    </r>
  </si>
  <si>
    <t>IC=</t>
  </si>
  <si>
    <r>
      <t>t</t>
    </r>
    <r>
      <rPr>
        <b/>
        <sz val="11"/>
        <rFont val="Calibri"/>
        <family val="2"/>
      </rPr>
      <t xml:space="preserve"> calc de la dif medias = (dif de medias) / EE (dif de medias)= </t>
    </r>
  </si>
  <si>
    <r>
      <t>Valor de</t>
    </r>
    <r>
      <rPr>
        <i/>
        <sz val="11"/>
        <rFont val="Calibri"/>
        <family val="2"/>
        <scheme val="minor"/>
      </rPr>
      <t xml:space="preserve"> p</t>
    </r>
  </si>
  <si>
    <t>Si homocedasticidad</t>
  </si>
  <si>
    <t>Si heterocedasticidad</t>
  </si>
  <si>
    <t>Si homoce</t>
  </si>
  <si>
    <t>DE</t>
  </si>
  <si>
    <t>Media A</t>
  </si>
  <si>
    <t>Media B</t>
  </si>
  <si>
    <t>Dif Medias (IC 95%)</t>
  </si>
  <si>
    <t>Potencia resultante</t>
  </si>
  <si>
    <t>F máx</t>
  </si>
  <si>
    <t>p de la Dif de Desv Est</t>
  </si>
  <si>
    <r>
      <t>p</t>
    </r>
    <r>
      <rPr>
        <b/>
        <sz val="11"/>
        <rFont val="Calibri"/>
        <family val="2"/>
        <scheme val="minor"/>
      </rPr>
      <t xml:space="preserve"> de Dif Medias</t>
    </r>
  </si>
  <si>
    <r>
      <t>p</t>
    </r>
    <r>
      <rPr>
        <b/>
        <sz val="11"/>
        <rFont val="Calibri"/>
        <family val="2"/>
        <scheme val="minor"/>
      </rPr>
      <t xml:space="preserve"> Dif Desv Est (prueba de Levene)</t>
    </r>
  </si>
  <si>
    <t>Válido si homocedasticidad</t>
  </si>
  <si>
    <t>Si es &gt; 0,05 =&gt; homocedascicidad (las varianzas son homogéneas)</t>
  </si>
  <si>
    <t>Válido si heterocedasticidad</t>
  </si>
  <si>
    <t>Si es &lt; 0,05 =&gt; heterocedascicidad (las varianzas NO son homogéneas)</t>
  </si>
  <si>
    <t>DIFERENCIA DE MEDIAS ESTANDARIZADA = TAMAÑO DEL EFECTO (d de Cohen)</t>
  </si>
  <si>
    <r>
      <t xml:space="preserve">La </t>
    </r>
    <r>
      <rPr>
        <i/>
        <sz val="11"/>
        <rFont val="Calibri"/>
        <family val="2"/>
        <scheme val="minor"/>
      </rPr>
      <t>d</t>
    </r>
    <r>
      <rPr>
        <sz val="11"/>
        <rFont val="Calibri"/>
        <family val="2"/>
        <scheme val="minor"/>
      </rPr>
      <t xml:space="preserve"> de Cohen es una medida del tamaño del efecto como diferencia de medias estandarizada. Es decir, nos informa de cuántas desviaciones típicas de diferencia hay entre los resultados de los dos grupos que se comparan (grupo experimental y grupo de control, o el mismo grupo antes y después de la intervención). Se ve afectada de un intervalo de confianza, que será más estrecho cuanto mayor sea el número en cada grupo.</t>
    </r>
  </si>
  <si>
    <t>http://clbe.wordpress.com/2011/10/26/la-d-de-cohen-como-tamano-del-efecto/</t>
  </si>
  <si>
    <t>Las diferencias estadarizadas son menos sensibles al tamaño de las muestras que los tradicionales test de hipótesis. Éstas porporcionan una medida de la diferencia entre grupos respecto a la desviación estándar agrupada. Una diferencia estadarizada de 0,1 (ó 10%) fue considerada como diferencia significativa en 20161020-EstRet 30d, old [antiDepr2ª vs no], Hosp hipoNa NND 76, +delir 6583. Gandhi . Gandhi S, Shariff SZ, Al-Jaishi A, et al. Second-Generation Antidepressants and Hyponatremia Risk: A Population-Based Cohort Study of Older Adults. Am J Kidney Dis. 2016 Oct 20. pii: S0272-6386(16)30480-2.</t>
  </si>
  <si>
    <t>Para la estimación puntual</t>
  </si>
  <si>
    <t>Media (M)</t>
  </si>
  <si>
    <t>Intervención</t>
  </si>
  <si>
    <t>Control</t>
  </si>
  <si>
    <t>M2 - M1=</t>
  </si>
  <si>
    <t>(DE2 + DE1) / 2 =</t>
  </si>
  <si>
    <t>D de Cohen</t>
  </si>
  <si>
    <t>Dif Medias Estandarizada o D de Cohen (IC 95%)</t>
  </si>
  <si>
    <t>Dif Medias Estandarizada, D de Cohen (IC 95%)</t>
  </si>
  <si>
    <r>
      <t xml:space="preserve">Tamaño del efecto según la </t>
    </r>
    <r>
      <rPr>
        <b/>
        <i/>
        <sz val="11"/>
        <color rgb="FF7030A0"/>
        <rFont val="Calibri"/>
        <family val="2"/>
        <scheme val="minor"/>
      </rPr>
      <t>d</t>
    </r>
    <r>
      <rPr>
        <b/>
        <sz val="11"/>
        <color rgb="FF7030A0"/>
        <rFont val="Calibri"/>
        <family val="2"/>
        <scheme val="minor"/>
      </rPr>
      <t>:</t>
    </r>
    <r>
      <rPr>
        <sz val="11"/>
        <color rgb="FF7030A0"/>
        <rFont val="Calibri"/>
        <family val="2"/>
        <scheme val="minor"/>
      </rPr>
      <t xml:space="preserve"> 0,20 (pequeño); 0,50 (mediano); 0,80 (grande)</t>
    </r>
  </si>
  <si>
    <t>203/5123 (3,96%)</t>
  </si>
  <si>
    <t>1,26 (1,06-1,51)</t>
  </si>
  <si>
    <t>-1,05% (-1,85% a -0,24%)</t>
  </si>
  <si>
    <t>-95 (-411 a -54)</t>
  </si>
  <si>
    <t>-0,86% (-1,79% a -0,04%)</t>
  </si>
  <si>
    <t>-117 (-2552 a -56)</t>
  </si>
  <si>
    <t>4,86%</t>
  </si>
  <si>
    <t>4%</t>
  </si>
  <si>
    <t>3,55 años</t>
  </si>
  <si>
    <t>0,90 (0,78-1,04)</t>
  </si>
  <si>
    <t>Intens</t>
  </si>
  <si>
    <t>Convenc</t>
  </si>
  <si>
    <t>HR</t>
  </si>
  <si>
    <t>% / año</t>
  </si>
  <si>
    <t>% / ¿x años?</t>
  </si>
  <si>
    <t>3,48 años</t>
  </si>
  <si>
    <r>
      <rPr>
        <sz val="10"/>
        <rFont val="Calibri"/>
        <family val="2"/>
        <scheme val="minor"/>
      </rPr>
      <t xml:space="preserve">Intervención: </t>
    </r>
    <r>
      <rPr>
        <b/>
        <sz val="10"/>
        <rFont val="Calibri"/>
        <family val="2"/>
        <scheme val="minor"/>
      </rPr>
      <t>Intensivo</t>
    </r>
  </si>
  <si>
    <r>
      <rPr>
        <sz val="10"/>
        <rFont val="Calibri"/>
        <family val="2"/>
        <scheme val="minor"/>
      </rPr>
      <t xml:space="preserve">Control: </t>
    </r>
    <r>
      <rPr>
        <b/>
        <sz val="10"/>
        <rFont val="Calibri"/>
        <family val="2"/>
        <scheme val="minor"/>
      </rPr>
      <t>Convencional</t>
    </r>
  </si>
  <si>
    <t>¿x años?</t>
  </si>
  <si>
    <t>Mort por HR</t>
  </si>
  <si>
    <t>Mort por RR</t>
  </si>
  <si>
    <t>--&gt;Media ambos grupos</t>
  </si>
  <si>
    <t>Fasting serum glucose (mg/dl) 174.9±56.0 175.7±56.5</t>
  </si>
  <si>
    <t>1,14% x 3,48 = 4%</t>
  </si>
  <si>
    <t>Diferencia entre el inicio y el final, Kg</t>
  </si>
  <si>
    <r>
      <rPr>
        <b/>
        <sz val="11"/>
        <color indexed="60"/>
        <rFont val="Calibri"/>
        <family val="2"/>
      </rPr>
      <t xml:space="preserve">Tabla …: </t>
    </r>
    <r>
      <rPr>
        <b/>
        <sz val="11"/>
        <rFont val="Calibri"/>
        <family val="2"/>
      </rPr>
      <t>Paciente de 62 años (DE 7) con DM2 10 años establecida y con enfermedad CV o al menos otro FRCV adicional.</t>
    </r>
  </si>
  <si>
    <t>0,7% (-0,28% a 1,54%)</t>
  </si>
  <si>
    <t>144 (65 a -361)</t>
  </si>
  <si>
    <t>-0,62% (-1,35% a -0,07%)</t>
  </si>
  <si>
    <t>-161 (-1402 a -74)</t>
  </si>
  <si>
    <t>0,76 (0,62-0,09)</t>
  </si>
  <si>
    <t>1,08% (4,17% a 1,72%)</t>
  </si>
  <si>
    <t>92 (58 a 24)</t>
  </si>
  <si>
    <t>1,06 (0,75-1,5)</t>
  </si>
  <si>
    <t>-0,07% (-0,59% a 0,3%)</t>
  </si>
  <si>
    <t>-1398 (335 a -168)</t>
  </si>
  <si>
    <t>1,18 (0,99-1,49)</t>
  </si>
  <si>
    <t>-0,43% (-1,15% a 0,02%)</t>
  </si>
  <si>
    <t>-235 (4217 a -87)</t>
  </si>
  <si>
    <t>Variable analizada</t>
  </si>
  <si>
    <r>
      <t xml:space="preserve">Medidas del efecto </t>
    </r>
    <r>
      <rPr>
        <b/>
        <u/>
        <sz val="10"/>
        <rFont val="Calibri"/>
        <family val="2"/>
      </rPr>
      <t>EN LOS AÑOS DEL GRUPO CONTROL</t>
    </r>
    <r>
      <rPr>
        <b/>
        <sz val="10"/>
        <rFont val="Calibri"/>
        <family val="2"/>
      </rPr>
      <t xml:space="preserve"> obtenidas a partir de los HR informados por los investigadores.</t>
    </r>
  </si>
  <si>
    <t>NNT (IC 95%) en los años del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</si>
</sst>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3" formatCode="_-* #,##0.00\ _€_-;\-* #,##0.00\ _€_-;_-* &quot;-&quot;??\ _€_-;_-@_-"/>
    <numFmt numFmtId="164" formatCode="_-* #,##0\ _€_-;\-* #,##0\ _€_-;_-* &quot;-&quot;??\ _€_-;_-@_-"/>
    <numFmt numFmtId="165" formatCode="_-* #,##0.000\ _€_-;\-* #,##0.000\ _€_-;_-* &quot;-&quot;??\ _€_-;_-@_-"/>
    <numFmt numFmtId="166" formatCode="_-* #,##0.0000\ _€_-;\-* #,##0.0000\ _€_-;_-* &quot;-&quot;??\ _€_-;_-@_-"/>
    <numFmt numFmtId="167" formatCode="0.0%"/>
    <numFmt numFmtId="168" formatCode="_-* #,##0.00000\ _€_-;\-* #,##0.00000\ _€_-;_-* &quot;-&quot;??\ _€_-;_-@_-"/>
    <numFmt numFmtId="169" formatCode="_-* #,##0.000000\ _€_-;\-* #,##0.000000\ _€_-;_-* &quot;-&quot;??\ _€_-;_-@_-"/>
    <numFmt numFmtId="170" formatCode="_-* #,##0.000\ _€_-;\-* #,##0.000\ _€_-;_-* &quot;-&quot;???\ _€_-;_-@_-"/>
    <numFmt numFmtId="171" formatCode="_-* #,##0.0\ _€_-;\-* #,##0.0\ _€_-;_-* &quot;-&quot;??\ _€_-;_-@_-"/>
    <numFmt numFmtId="172" formatCode="_-* #,##0.0\ _€_-;\-* #,##0.0\ _€_-;_-* &quot;-&quot;?\ _€_-;_-@_-"/>
    <numFmt numFmtId="173" formatCode="0.0000%"/>
    <numFmt numFmtId="174" formatCode="_-* #,##0\ _€_-;\-* #,##0\ _€_-;_-* &quot;-&quot;???\ _€_-;_-@_-"/>
    <numFmt numFmtId="175" formatCode="_-* #,##0.0000\ _€_-;\-* #,##0.0000\ _€_-;_-* &quot;-&quot;?\ _€_-;_-@_-"/>
    <numFmt numFmtId="176" formatCode="0.000"/>
    <numFmt numFmtId="177" formatCode="_-* #,##0\ _€_-;\-* #,##0\ _€_-;_-* &quot;-&quot;?\ _€_-;_-@_-"/>
    <numFmt numFmtId="178" formatCode="_-* #,##0.00\ _€_-;\-* #,##0.00\ _€_-;_-* \-??\ _€_-;_-@_-"/>
    <numFmt numFmtId="179" formatCode="_-* #,##0.00\ _€_-;\-* #,##0.00\ _€_-;_-* &quot;-&quot;???\ _€_-;_-@_-"/>
    <numFmt numFmtId="180" formatCode="0.0"/>
    <numFmt numFmtId="181" formatCode="0.0000"/>
    <numFmt numFmtId="182" formatCode="#,##0.00_ ;\-#,##0.00\ "/>
    <numFmt numFmtId="183" formatCode="_-* #,##0.00000\ _€_-;\-* #,##0.00000\ _€_-;_-* &quot;-&quot;???\ _€_-;_-@_-"/>
    <numFmt numFmtId="184" formatCode="0.00000"/>
    <numFmt numFmtId="185" formatCode="0.00000000"/>
    <numFmt numFmtId="186" formatCode="0.000000"/>
    <numFmt numFmtId="187" formatCode="_-* #,##0.00\ _€_-;\-* #,##0.00\ _€_-;_-* &quot;-&quot;?\ _€_-;_-@_-"/>
    <numFmt numFmtId="188" formatCode="#,##0.0"/>
  </numFmts>
  <fonts count="104" x14ac:knownFonts="1">
    <font>
      <sz val="10"/>
      <name val="Arial"/>
    </font>
    <font>
      <sz val="10"/>
      <name val="Arial"/>
      <family val="2"/>
    </font>
    <font>
      <sz val="8"/>
      <name val="Arial"/>
      <family val="2"/>
    </font>
    <font>
      <sz val="10"/>
      <name val="Calibri"/>
      <family val="2"/>
    </font>
    <font>
      <sz val="10"/>
      <color indexed="12"/>
      <name val="Calibri"/>
      <family val="2"/>
    </font>
    <font>
      <b/>
      <sz val="10"/>
      <color indexed="12"/>
      <name val="Calibri"/>
      <family val="2"/>
    </font>
    <font>
      <b/>
      <sz val="10"/>
      <name val="Calibri"/>
      <family val="2"/>
    </font>
    <font>
      <i/>
      <sz val="10"/>
      <color indexed="12"/>
      <name val="Calibri"/>
      <family val="2"/>
    </font>
    <font>
      <i/>
      <sz val="10"/>
      <name val="Calibri"/>
      <family val="2"/>
    </font>
    <font>
      <b/>
      <i/>
      <sz val="9"/>
      <name val="Calibri"/>
      <family val="2"/>
    </font>
    <font>
      <b/>
      <i/>
      <sz val="10"/>
      <name val="Calibri"/>
      <family val="2"/>
    </font>
    <font>
      <vertAlign val="subscript"/>
      <sz val="10"/>
      <name val="Calibri"/>
      <family val="2"/>
    </font>
    <font>
      <vertAlign val="superscript"/>
      <sz val="10"/>
      <name val="Calibri"/>
      <family val="2"/>
    </font>
    <font>
      <b/>
      <u/>
      <sz val="12"/>
      <name val="Calibri"/>
      <family val="2"/>
    </font>
    <font>
      <b/>
      <u/>
      <sz val="10"/>
      <name val="Calibri"/>
      <family val="2"/>
    </font>
    <font>
      <sz val="10"/>
      <name val="Calibri"/>
      <family val="2"/>
      <scheme val="minor"/>
    </font>
    <font>
      <sz val="10"/>
      <color indexed="12"/>
      <name val="Calibri"/>
      <family val="2"/>
      <scheme val="minor"/>
    </font>
    <font>
      <b/>
      <sz val="10"/>
      <color indexed="12"/>
      <name val="Calibri"/>
      <family val="2"/>
      <scheme val="minor"/>
    </font>
    <font>
      <sz val="8"/>
      <name val="Calibri"/>
      <family val="2"/>
      <scheme val="minor"/>
    </font>
    <font>
      <b/>
      <sz val="10"/>
      <color indexed="57"/>
      <name val="Calibri"/>
      <family val="2"/>
      <scheme val="minor"/>
    </font>
    <font>
      <b/>
      <sz val="10"/>
      <name val="Calibri"/>
      <family val="2"/>
      <scheme val="minor"/>
    </font>
    <font>
      <sz val="10"/>
      <color indexed="20"/>
      <name val="Calibri"/>
      <family val="2"/>
      <scheme val="minor"/>
    </font>
    <font>
      <b/>
      <sz val="10"/>
      <color indexed="63"/>
      <name val="Calibri"/>
      <family val="2"/>
      <scheme val="minor"/>
    </font>
    <font>
      <sz val="10"/>
      <color indexed="63"/>
      <name val="Calibri"/>
      <family val="2"/>
      <scheme val="minor"/>
    </font>
    <font>
      <b/>
      <u/>
      <sz val="14"/>
      <name val="Calibri"/>
      <family val="2"/>
      <scheme val="minor"/>
    </font>
    <font>
      <i/>
      <sz val="10"/>
      <color indexed="12"/>
      <name val="Calibri"/>
      <family val="2"/>
      <scheme val="minor"/>
    </font>
    <font>
      <sz val="10"/>
      <color indexed="52"/>
      <name val="Calibri"/>
      <family val="2"/>
      <scheme val="minor"/>
    </font>
    <font>
      <b/>
      <sz val="9"/>
      <name val="Calibri"/>
      <family val="2"/>
      <scheme val="minor"/>
    </font>
    <font>
      <i/>
      <sz val="10"/>
      <color indexed="20"/>
      <name val="Calibri"/>
      <family val="2"/>
      <scheme val="minor"/>
    </font>
    <font>
      <b/>
      <sz val="10"/>
      <color indexed="14"/>
      <name val="Calibri"/>
      <family val="2"/>
      <scheme val="minor"/>
    </font>
    <font>
      <sz val="10"/>
      <color indexed="14"/>
      <name val="Calibri"/>
      <family val="2"/>
      <scheme val="minor"/>
    </font>
    <font>
      <b/>
      <u/>
      <sz val="12.5"/>
      <name val="Calibri"/>
      <family val="2"/>
      <scheme val="minor"/>
    </font>
    <font>
      <b/>
      <sz val="12"/>
      <name val="Calibri"/>
      <family val="2"/>
      <scheme val="minor"/>
    </font>
    <font>
      <b/>
      <i/>
      <sz val="12"/>
      <name val="Calibri"/>
      <family val="2"/>
      <scheme val="minor"/>
    </font>
    <font>
      <i/>
      <sz val="10"/>
      <name val="Calibri"/>
      <family val="2"/>
      <scheme val="minor"/>
    </font>
    <font>
      <b/>
      <u/>
      <sz val="12"/>
      <name val="Calibri"/>
      <family val="2"/>
      <scheme val="minor"/>
    </font>
    <font>
      <sz val="12"/>
      <name val="Calibri"/>
      <family val="2"/>
      <scheme val="minor"/>
    </font>
    <font>
      <sz val="10"/>
      <color indexed="61"/>
      <name val="Calibri"/>
      <family val="2"/>
      <scheme val="minor"/>
    </font>
    <font>
      <sz val="10"/>
      <color indexed="10"/>
      <name val="Calibri"/>
      <family val="2"/>
      <scheme val="minor"/>
    </font>
    <font>
      <b/>
      <sz val="8"/>
      <name val="Calibri"/>
      <family val="2"/>
      <scheme val="minor"/>
    </font>
    <font>
      <sz val="8.1"/>
      <color indexed="63"/>
      <name val="Calibri"/>
      <family val="2"/>
      <scheme val="minor"/>
    </font>
    <font>
      <sz val="12"/>
      <color indexed="8"/>
      <name val="Calibri"/>
      <family val="2"/>
      <scheme val="minor"/>
    </font>
    <font>
      <sz val="10"/>
      <color indexed="17"/>
      <name val="Calibri"/>
      <family val="2"/>
      <scheme val="minor"/>
    </font>
    <font>
      <b/>
      <sz val="10"/>
      <color indexed="10"/>
      <name val="Calibri"/>
      <family val="2"/>
      <scheme val="minor"/>
    </font>
    <font>
      <sz val="12"/>
      <color indexed="16"/>
      <name val="Calibri"/>
      <family val="2"/>
      <scheme val="minor"/>
    </font>
    <font>
      <sz val="12"/>
      <color indexed="12"/>
      <name val="Calibri"/>
      <family val="2"/>
      <scheme val="minor"/>
    </font>
    <font>
      <b/>
      <sz val="12"/>
      <color indexed="12"/>
      <name val="Calibri"/>
      <family val="2"/>
      <scheme val="minor"/>
    </font>
    <font>
      <sz val="10"/>
      <color rgb="FF663300"/>
      <name val="Calibri"/>
      <family val="2"/>
      <scheme val="minor"/>
    </font>
    <font>
      <sz val="14"/>
      <color theme="9" tint="-0.499984740745262"/>
      <name val="Calibri"/>
      <family val="2"/>
      <scheme val="minor"/>
    </font>
    <font>
      <b/>
      <sz val="14"/>
      <color theme="9" tint="-0.499984740745262"/>
      <name val="Calibri"/>
      <family val="2"/>
      <scheme val="minor"/>
    </font>
    <font>
      <sz val="10"/>
      <color rgb="FFFF0000"/>
      <name val="Calibri"/>
      <family val="2"/>
      <scheme val="minor"/>
    </font>
    <font>
      <b/>
      <sz val="24"/>
      <name val="Calibri"/>
      <family val="2"/>
      <scheme val="minor"/>
    </font>
    <font>
      <sz val="9"/>
      <name val="Calibri"/>
      <family val="2"/>
      <scheme val="minor"/>
    </font>
    <font>
      <b/>
      <sz val="15"/>
      <name val="Calibri"/>
      <family val="2"/>
      <scheme val="minor"/>
    </font>
    <font>
      <sz val="11"/>
      <color indexed="12"/>
      <name val="Calibri"/>
      <family val="2"/>
      <scheme val="minor"/>
    </font>
    <font>
      <b/>
      <sz val="13"/>
      <name val="Calibri"/>
      <family val="2"/>
      <scheme val="minor"/>
    </font>
    <font>
      <b/>
      <sz val="14"/>
      <name val="Calibri"/>
      <family val="2"/>
      <scheme val="minor"/>
    </font>
    <font>
      <sz val="12"/>
      <color indexed="12"/>
      <name val="Trebuchet MS"/>
      <family val="2"/>
    </font>
    <font>
      <sz val="11"/>
      <name val="Calibri"/>
      <family val="2"/>
      <scheme val="minor"/>
    </font>
    <font>
      <b/>
      <sz val="11"/>
      <name val="Calibri"/>
      <family val="2"/>
      <scheme val="minor"/>
    </font>
    <font>
      <b/>
      <u/>
      <sz val="11"/>
      <name val="Calibri"/>
      <family val="2"/>
      <scheme val="minor"/>
    </font>
    <font>
      <b/>
      <vertAlign val="superscript"/>
      <sz val="11"/>
      <name val="Calibri"/>
      <family val="2"/>
      <scheme val="minor"/>
    </font>
    <font>
      <b/>
      <vertAlign val="subscript"/>
      <sz val="11"/>
      <name val="Calibri"/>
      <family val="2"/>
      <scheme val="minor"/>
    </font>
    <font>
      <sz val="11"/>
      <color rgb="FFFFC000"/>
      <name val="Calibri"/>
      <family val="2"/>
      <scheme val="minor"/>
    </font>
    <font>
      <sz val="10"/>
      <name val="Times New Roman"/>
      <family val="1"/>
    </font>
    <font>
      <i/>
      <sz val="10"/>
      <name val="Times New Roman"/>
      <family val="1"/>
    </font>
    <font>
      <sz val="14"/>
      <name val="Calibri"/>
      <family val="2"/>
      <scheme val="minor"/>
    </font>
    <font>
      <b/>
      <sz val="23"/>
      <name val="Calibri"/>
      <family val="2"/>
      <scheme val="minor"/>
    </font>
    <font>
      <b/>
      <i/>
      <sz val="10"/>
      <name val="Calibri"/>
      <family val="2"/>
      <scheme val="minor"/>
    </font>
    <font>
      <b/>
      <sz val="12"/>
      <color rgb="FF993300"/>
      <name val="Calibri"/>
      <family val="2"/>
      <scheme val="minor"/>
    </font>
    <font>
      <b/>
      <sz val="12"/>
      <color indexed="60"/>
      <name val="Calibri"/>
      <family val="2"/>
    </font>
    <font>
      <b/>
      <sz val="12"/>
      <name val="Calibri"/>
      <family val="2"/>
    </font>
    <font>
      <b/>
      <sz val="11"/>
      <color theme="1"/>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i/>
      <sz val="11"/>
      <name val="Calibri"/>
      <family val="2"/>
      <scheme val="minor"/>
    </font>
    <font>
      <b/>
      <sz val="11"/>
      <color indexed="12"/>
      <name val="Calibri"/>
      <family val="2"/>
      <scheme val="minor"/>
    </font>
    <font>
      <b/>
      <i/>
      <sz val="11"/>
      <color indexed="12"/>
      <name val="Calibri"/>
      <family val="2"/>
      <scheme val="minor"/>
    </font>
    <font>
      <vertAlign val="subscript"/>
      <sz val="10"/>
      <name val="Calibri"/>
      <family val="2"/>
      <scheme val="minor"/>
    </font>
    <font>
      <b/>
      <sz val="11"/>
      <color rgb="FF000000"/>
      <name val="Calibri"/>
      <family val="2"/>
      <scheme val="minor"/>
    </font>
    <font>
      <sz val="11"/>
      <name val="Calibri"/>
      <family val="2"/>
    </font>
    <font>
      <b/>
      <sz val="11"/>
      <name val="Calibri"/>
      <family val="2"/>
    </font>
    <font>
      <b/>
      <sz val="14"/>
      <name val="Calibri"/>
      <family val="2"/>
    </font>
    <font>
      <b/>
      <sz val="11"/>
      <color rgb="FF0000FF"/>
      <name val="Calibri"/>
      <family val="2"/>
      <scheme val="minor"/>
    </font>
    <font>
      <sz val="10"/>
      <color rgb="FF0000FF"/>
      <name val="Calibri"/>
      <family val="2"/>
      <scheme val="minor"/>
    </font>
    <font>
      <b/>
      <sz val="11"/>
      <color rgb="FF7030A0"/>
      <name val="Calibri"/>
      <family val="2"/>
      <scheme val="minor"/>
    </font>
    <font>
      <sz val="10"/>
      <color rgb="FF7030A0"/>
      <name val="Calibri"/>
      <family val="2"/>
      <scheme val="minor"/>
    </font>
    <font>
      <sz val="10"/>
      <color indexed="60"/>
      <name val="Calibri"/>
      <family val="2"/>
      <scheme val="minor"/>
    </font>
    <font>
      <b/>
      <u/>
      <sz val="11"/>
      <color indexed="12"/>
      <name val="Calibri"/>
      <family val="2"/>
      <scheme val="minor"/>
    </font>
    <font>
      <sz val="11"/>
      <color rgb="FF7030A0"/>
      <name val="Calibri"/>
      <family val="2"/>
      <scheme val="minor"/>
    </font>
    <font>
      <b/>
      <i/>
      <sz val="11"/>
      <color rgb="FF7030A0"/>
      <name val="Calibri"/>
      <family val="2"/>
      <scheme val="minor"/>
    </font>
    <font>
      <b/>
      <sz val="9"/>
      <color rgb="FF0000FF"/>
      <name val="Calibri"/>
      <family val="2"/>
      <scheme val="minor"/>
    </font>
    <font>
      <sz val="9"/>
      <color rgb="FF0000FF"/>
      <name val="Calibri"/>
      <family val="2"/>
      <scheme val="minor"/>
    </font>
    <font>
      <b/>
      <sz val="14"/>
      <color rgb="FF0000FF"/>
      <name val="Calibri"/>
      <family val="2"/>
      <scheme val="minor"/>
    </font>
    <font>
      <b/>
      <sz val="9"/>
      <color rgb="FF993300"/>
      <name val="Calibri"/>
      <family val="2"/>
      <scheme val="minor"/>
    </font>
    <font>
      <sz val="10"/>
      <color rgb="FF993300"/>
      <name val="Calibri"/>
      <family val="2"/>
      <scheme val="minor"/>
    </font>
    <font>
      <sz val="9"/>
      <color rgb="FF993300"/>
      <name val="Calibri"/>
      <family val="2"/>
      <scheme val="minor"/>
    </font>
    <font>
      <b/>
      <sz val="14"/>
      <color rgb="FF993300"/>
      <name val="Calibri"/>
      <family val="2"/>
      <scheme val="minor"/>
    </font>
    <font>
      <b/>
      <sz val="10"/>
      <color rgb="FF008000"/>
      <name val="Calibri"/>
      <family val="2"/>
      <scheme val="minor"/>
    </font>
    <font>
      <b/>
      <sz val="14"/>
      <color rgb="FF008000"/>
      <name val="Calibri"/>
      <family val="2"/>
      <scheme val="minor"/>
    </font>
    <font>
      <b/>
      <sz val="14"/>
      <color indexed="10"/>
      <name val="Calibri"/>
      <family val="2"/>
      <scheme val="minor"/>
    </font>
    <font>
      <b/>
      <sz val="10"/>
      <color rgb="FFFF0000"/>
      <name val="Calibri"/>
      <family val="2"/>
      <scheme val="minor"/>
    </font>
    <font>
      <b/>
      <sz val="11"/>
      <color indexed="60"/>
      <name val="Calibri"/>
      <family val="2"/>
    </font>
  </fonts>
  <fills count="18">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indexed="46"/>
        <bgColor indexed="64"/>
      </patternFill>
    </fill>
    <fill>
      <patternFill patternType="solid">
        <fgColor theme="7" tint="0.59999389629810485"/>
        <bgColor indexed="64"/>
      </patternFill>
    </fill>
    <fill>
      <patternFill patternType="solid">
        <fgColor rgb="FFDDDDDD"/>
        <bgColor indexed="64"/>
      </patternFill>
    </fill>
    <fill>
      <patternFill patternType="solid">
        <fgColor rgb="FFFFCCFF"/>
        <bgColor indexed="64"/>
      </patternFill>
    </fill>
  </fills>
  <borders count="63">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bottom style="medium">
        <color auto="1"/>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15">
    <xf numFmtId="0" fontId="0" fillId="0" borderId="0" xfId="0"/>
    <xf numFmtId="2" fontId="15" fillId="0" borderId="0" xfId="0" applyNumberFormat="1" applyFont="1" applyFill="1" applyBorder="1"/>
    <xf numFmtId="0" fontId="15" fillId="0" borderId="0" xfId="0" applyFont="1" applyFill="1" applyBorder="1" applyAlignment="1">
      <alignment horizontal="center"/>
    </xf>
    <xf numFmtId="10" fontId="15" fillId="0" borderId="0" xfId="0" applyNumberFormat="1" applyFont="1" applyFill="1" applyBorder="1" applyAlignment="1">
      <alignment horizontal="center"/>
    </xf>
    <xf numFmtId="0" fontId="15" fillId="0" borderId="0" xfId="0" applyFont="1" applyFill="1" applyBorder="1"/>
    <xf numFmtId="0" fontId="15" fillId="0" borderId="0" xfId="0" applyFont="1"/>
    <xf numFmtId="2" fontId="15" fillId="0" borderId="0" xfId="0" applyNumberFormat="1" applyFont="1"/>
    <xf numFmtId="10" fontId="15" fillId="0" borderId="0" xfId="2" applyNumberFormat="1" applyFont="1" applyBorder="1" applyAlignment="1">
      <alignment horizontal="center"/>
    </xf>
    <xf numFmtId="10" fontId="16" fillId="0" borderId="0" xfId="2" applyNumberFormat="1" applyFont="1" applyBorder="1" applyAlignment="1">
      <alignment horizontal="center"/>
    </xf>
    <xf numFmtId="0" fontId="17" fillId="0" borderId="0" xfId="0" applyFont="1" applyFill="1" applyBorder="1" applyAlignment="1">
      <alignment vertical="distributed"/>
    </xf>
    <xf numFmtId="0" fontId="15" fillId="0" borderId="0" xfId="0" applyFont="1" applyFill="1" applyAlignment="1">
      <alignment horizontal="center"/>
    </xf>
    <xf numFmtId="10" fontId="15" fillId="0" borderId="0" xfId="0" applyNumberFormat="1" applyFont="1" applyFill="1" applyAlignment="1">
      <alignment horizontal="center"/>
    </xf>
    <xf numFmtId="0" fontId="15" fillId="0" borderId="0" xfId="0" applyFont="1" applyFill="1"/>
    <xf numFmtId="0" fontId="15" fillId="0" borderId="0" xfId="0" applyFont="1" applyBorder="1" applyAlignment="1">
      <alignment horizontal="center"/>
    </xf>
    <xf numFmtId="18" fontId="15" fillId="0" borderId="0" xfId="1" applyNumberFormat="1" applyFont="1" applyBorder="1" applyAlignment="1">
      <alignment horizontal="center"/>
    </xf>
    <xf numFmtId="43" fontId="15" fillId="0" borderId="0" xfId="1" applyFont="1" applyFill="1" applyAlignment="1">
      <alignment horizontal="center"/>
    </xf>
    <xf numFmtId="164" fontId="15" fillId="0" borderId="0" xfId="0" applyNumberFormat="1" applyFont="1"/>
    <xf numFmtId="43" fontId="15" fillId="0" borderId="0" xfId="0" applyNumberFormat="1" applyFont="1"/>
    <xf numFmtId="43" fontId="18" fillId="0" borderId="0" xfId="1" applyFont="1" applyFill="1" applyBorder="1" applyAlignment="1">
      <alignment horizontal="center"/>
    </xf>
    <xf numFmtId="43" fontId="15" fillId="0" borderId="0" xfId="1" applyFont="1" applyFill="1"/>
    <xf numFmtId="0" fontId="19" fillId="0" borderId="0" xfId="0" applyFont="1" applyFill="1"/>
    <xf numFmtId="165" fontId="15" fillId="0" borderId="0" xfId="0" applyNumberFormat="1" applyFont="1" applyBorder="1" applyAlignment="1">
      <alignment horizontal="center"/>
    </xf>
    <xf numFmtId="0" fontId="15" fillId="0" borderId="0" xfId="0" applyFont="1" applyBorder="1"/>
    <xf numFmtId="43" fontId="15" fillId="0" borderId="0" xfId="1" applyFont="1" applyFill="1" applyBorder="1"/>
    <xf numFmtId="0" fontId="15" fillId="0" borderId="0" xfId="0" applyFont="1" applyBorder="1" applyAlignment="1">
      <alignment horizontal="right"/>
    </xf>
    <xf numFmtId="10" fontId="15" fillId="0" borderId="0" xfId="2" applyNumberFormat="1" applyFont="1" applyFill="1"/>
    <xf numFmtId="10" fontId="15" fillId="0" borderId="0" xfId="0" applyNumberFormat="1" applyFont="1" applyFill="1"/>
    <xf numFmtId="0" fontId="23" fillId="0" borderId="0" xfId="0" applyFont="1" applyAlignment="1">
      <alignment horizontal="right"/>
    </xf>
    <xf numFmtId="1" fontId="15" fillId="0" borderId="0" xfId="0" applyNumberFormat="1" applyFont="1" applyBorder="1" applyAlignment="1">
      <alignment horizontal="right"/>
    </xf>
    <xf numFmtId="0" fontId="15" fillId="0" borderId="0" xfId="0" applyFont="1" applyAlignment="1">
      <alignment horizontal="right"/>
    </xf>
    <xf numFmtId="0" fontId="20" fillId="0" borderId="0" xfId="0" applyFont="1"/>
    <xf numFmtId="0" fontId="20" fillId="0" borderId="0" xfId="0" applyFont="1" applyFill="1" applyBorder="1" applyAlignment="1">
      <alignment horizontal="center"/>
    </xf>
    <xf numFmtId="0" fontId="15" fillId="0" borderId="0" xfId="0" applyFont="1" applyFill="1" applyBorder="1" applyAlignment="1">
      <alignment horizontal="right"/>
    </xf>
    <xf numFmtId="43" fontId="15" fillId="0" borderId="0" xfId="0" applyNumberFormat="1" applyFont="1" applyFill="1" applyBorder="1"/>
    <xf numFmtId="43" fontId="15" fillId="0" borderId="0" xfId="0" applyNumberFormat="1" applyFont="1" applyFill="1" applyBorder="1" applyAlignment="1">
      <alignment horizontal="center"/>
    </xf>
    <xf numFmtId="10" fontId="15" fillId="0" borderId="0" xfId="2" applyNumberFormat="1" applyFont="1" applyFill="1" applyBorder="1" applyAlignment="1">
      <alignment horizontal="center"/>
    </xf>
    <xf numFmtId="10" fontId="15" fillId="0" borderId="0" xfId="2" applyNumberFormat="1" applyFont="1" applyFill="1" applyBorder="1"/>
    <xf numFmtId="43" fontId="20" fillId="0" borderId="12" xfId="1" applyFont="1" applyFill="1" applyBorder="1" applyAlignment="1">
      <alignment horizontal="center" vertical="distributed"/>
    </xf>
    <xf numFmtId="43" fontId="20" fillId="0" borderId="12" xfId="1" applyFont="1" applyBorder="1" applyAlignment="1">
      <alignment horizontal="center" vertical="distributed"/>
    </xf>
    <xf numFmtId="167" fontId="20" fillId="0" borderId="11" xfId="2" applyNumberFormat="1" applyFont="1" applyFill="1" applyBorder="1" applyAlignment="1">
      <alignment horizontal="center"/>
    </xf>
    <xf numFmtId="2" fontId="20" fillId="0" borderId="11" xfId="0" applyNumberFormat="1" applyFont="1" applyFill="1" applyBorder="1" applyAlignment="1">
      <alignment horizontal="center"/>
    </xf>
    <xf numFmtId="43" fontId="20" fillId="0" borderId="0" xfId="0" applyNumberFormat="1" applyFont="1" applyFill="1" applyBorder="1"/>
    <xf numFmtId="0" fontId="21" fillId="0" borderId="0" xfId="0" applyFont="1" applyFill="1" applyBorder="1" applyAlignment="1">
      <alignment horizontal="right"/>
    </xf>
    <xf numFmtId="43" fontId="21" fillId="0" borderId="0" xfId="0" applyNumberFormat="1" applyFont="1" applyFill="1" applyBorder="1" applyAlignment="1">
      <alignment horizontal="center"/>
    </xf>
    <xf numFmtId="43" fontId="21" fillId="0" borderId="0" xfId="1" applyFont="1" applyFill="1" applyBorder="1"/>
    <xf numFmtId="0" fontId="20" fillId="0" borderId="0" xfId="0" applyFont="1" applyFill="1" applyAlignment="1">
      <alignment horizontal="center"/>
    </xf>
    <xf numFmtId="43" fontId="21" fillId="0" borderId="0" xfId="1" applyFont="1" applyFill="1" applyAlignment="1">
      <alignment horizontal="right"/>
    </xf>
    <xf numFmtId="0" fontId="21" fillId="0" borderId="0" xfId="0" applyFont="1" applyFill="1" applyBorder="1"/>
    <xf numFmtId="43" fontId="15" fillId="0" borderId="0" xfId="0" applyNumberFormat="1" applyFont="1" applyFill="1"/>
    <xf numFmtId="171" fontId="15" fillId="0" borderId="0" xfId="0" applyNumberFormat="1" applyFont="1" applyFill="1" applyBorder="1"/>
    <xf numFmtId="172" fontId="15" fillId="0" borderId="0" xfId="0" applyNumberFormat="1" applyFont="1" applyFill="1"/>
    <xf numFmtId="0" fontId="24" fillId="0" borderId="0" xfId="0" applyFont="1"/>
    <xf numFmtId="0" fontId="20" fillId="0" borderId="0" xfId="0" applyFont="1" applyAlignment="1">
      <alignment horizontal="center"/>
    </xf>
    <xf numFmtId="164" fontId="15" fillId="0" borderId="0" xfId="0" applyNumberFormat="1" applyFont="1" applyFill="1" applyAlignment="1">
      <alignment horizontal="right"/>
    </xf>
    <xf numFmtId="0" fontId="20" fillId="0" borderId="0" xfId="0" applyFont="1" applyBorder="1"/>
    <xf numFmtId="171" fontId="15" fillId="0" borderId="0" xfId="0" applyNumberFormat="1" applyFont="1" applyFill="1" applyBorder="1" applyAlignment="1">
      <alignment horizontal="center"/>
    </xf>
    <xf numFmtId="0" fontId="20" fillId="0" borderId="0" xfId="0" applyFont="1" applyFill="1" applyBorder="1" applyAlignment="1">
      <alignment horizontal="left"/>
    </xf>
    <xf numFmtId="43" fontId="15" fillId="0" borderId="0" xfId="1" applyFont="1" applyFill="1" applyBorder="1" applyAlignment="1">
      <alignment horizontal="center"/>
    </xf>
    <xf numFmtId="169" fontId="15" fillId="0" borderId="0" xfId="1" applyNumberFormat="1" applyFont="1" applyFill="1" applyBorder="1" applyAlignment="1">
      <alignment horizontal="center"/>
    </xf>
    <xf numFmtId="43" fontId="20" fillId="0" borderId="0" xfId="1" applyFont="1" applyFill="1" applyBorder="1" applyAlignment="1"/>
    <xf numFmtId="0" fontId="17" fillId="0" borderId="0" xfId="0" applyFont="1" applyFill="1"/>
    <xf numFmtId="0" fontId="17" fillId="0" borderId="0" xfId="0" applyFont="1" applyAlignment="1">
      <alignment horizontal="left"/>
    </xf>
    <xf numFmtId="0" fontId="16" fillId="0" borderId="0" xfId="0" applyFont="1" applyAlignment="1">
      <alignment horizontal="right"/>
    </xf>
    <xf numFmtId="0" fontId="17" fillId="0" borderId="0" xfId="0" applyFont="1" applyBorder="1"/>
    <xf numFmtId="171" fontId="16" fillId="0" borderId="0" xfId="0" applyNumberFormat="1" applyFont="1" applyFill="1" applyBorder="1"/>
    <xf numFmtId="0" fontId="16" fillId="0" borderId="0" xfId="0" applyFont="1" applyFill="1" applyBorder="1" applyAlignment="1">
      <alignment horizontal="left"/>
    </xf>
    <xf numFmtId="0" fontId="16" fillId="0" borderId="0" xfId="0" applyFont="1" applyFill="1" applyBorder="1" applyAlignment="1">
      <alignment horizontal="center"/>
    </xf>
    <xf numFmtId="0" fontId="25" fillId="0" borderId="0" xfId="0" applyFont="1"/>
    <xf numFmtId="0" fontId="16" fillId="0" borderId="0" xfId="0" applyFont="1"/>
    <xf numFmtId="0" fontId="16" fillId="0" borderId="0" xfId="0" applyFont="1" applyFill="1" applyBorder="1"/>
    <xf numFmtId="43" fontId="17" fillId="0" borderId="0" xfId="1" applyFont="1" applyFill="1" applyBorder="1" applyAlignment="1"/>
    <xf numFmtId="0" fontId="26" fillId="0" borderId="0" xfId="0" applyFont="1" applyFill="1"/>
    <xf numFmtId="0" fontId="17" fillId="0" borderId="11" xfId="0" applyFont="1" applyFill="1" applyBorder="1" applyAlignment="1">
      <alignment horizontal="center" vertical="distributed"/>
    </xf>
    <xf numFmtId="0" fontId="17" fillId="0" borderId="11" xfId="0" applyFont="1" applyBorder="1" applyAlignment="1">
      <alignment horizontal="center" vertical="distributed"/>
    </xf>
    <xf numFmtId="0" fontId="16" fillId="0" borderId="0" xfId="0" applyFont="1" applyFill="1" applyBorder="1" applyAlignment="1">
      <alignment vertical="center" textRotation="90"/>
    </xf>
    <xf numFmtId="0" fontId="15" fillId="0" borderId="2" xfId="0" applyFont="1" applyFill="1" applyBorder="1" applyAlignment="1">
      <alignment horizontal="left"/>
    </xf>
    <xf numFmtId="43" fontId="27" fillId="0" borderId="14" xfId="1" applyFont="1" applyFill="1" applyBorder="1" applyAlignment="1">
      <alignment horizontal="right"/>
    </xf>
    <xf numFmtId="0" fontId="15" fillId="0" borderId="14" xfId="0" applyFont="1" applyFill="1" applyBorder="1" applyAlignment="1">
      <alignment horizontal="left"/>
    </xf>
    <xf numFmtId="169" fontId="15" fillId="0" borderId="14" xfId="1" applyNumberFormat="1" applyFont="1" applyFill="1" applyBorder="1" applyAlignment="1">
      <alignment horizontal="center"/>
    </xf>
    <xf numFmtId="43" fontId="15" fillId="0" borderId="14" xfId="1" applyFont="1" applyFill="1" applyBorder="1" applyAlignment="1">
      <alignment horizontal="center"/>
    </xf>
    <xf numFmtId="43" fontId="20" fillId="0" borderId="14" xfId="1" applyFont="1" applyFill="1" applyBorder="1" applyAlignment="1"/>
    <xf numFmtId="43" fontId="20" fillId="0" borderId="4" xfId="1" applyFont="1" applyFill="1" applyBorder="1" applyAlignment="1"/>
    <xf numFmtId="0" fontId="15" fillId="0" borderId="2" xfId="0" applyFont="1" applyFill="1" applyBorder="1"/>
    <xf numFmtId="0" fontId="15" fillId="0" borderId="14" xfId="0" applyFont="1" applyBorder="1"/>
    <xf numFmtId="0" fontId="15" fillId="0" borderId="4" xfId="0" applyFont="1" applyBorder="1"/>
    <xf numFmtId="164" fontId="16" fillId="0" borderId="11" xfId="0" applyNumberFormat="1" applyFont="1" applyFill="1" applyBorder="1" applyAlignment="1">
      <alignment horizontal="center"/>
    </xf>
    <xf numFmtId="10" fontId="16" fillId="2" borderId="11" xfId="2" applyNumberFormat="1" applyFont="1" applyFill="1" applyBorder="1" applyAlignment="1">
      <alignment horizontal="center"/>
    </xf>
    <xf numFmtId="43" fontId="16" fillId="0" borderId="11" xfId="1" applyFont="1" applyBorder="1" applyAlignment="1">
      <alignment horizontal="center"/>
    </xf>
    <xf numFmtId="10" fontId="17" fillId="4" borderId="11" xfId="2" applyNumberFormat="1" applyFont="1" applyFill="1" applyBorder="1" applyAlignment="1">
      <alignment horizontal="center"/>
    </xf>
    <xf numFmtId="164" fontId="15" fillId="0" borderId="5" xfId="0" applyNumberFormat="1" applyFont="1" applyFill="1" applyBorder="1"/>
    <xf numFmtId="43" fontId="20" fillId="0" borderId="7" xfId="1" applyFont="1" applyFill="1" applyBorder="1" applyAlignment="1"/>
    <xf numFmtId="166" fontId="15" fillId="0" borderId="5" xfId="1" applyNumberFormat="1" applyFont="1" applyFill="1" applyBorder="1"/>
    <xf numFmtId="0" fontId="15" fillId="0" borderId="7" xfId="0" applyFont="1" applyBorder="1"/>
    <xf numFmtId="167" fontId="15" fillId="0" borderId="5" xfId="2" applyNumberFormat="1" applyFont="1" applyFill="1" applyBorder="1"/>
    <xf numFmtId="0" fontId="15" fillId="0" borderId="7" xfId="0" applyFont="1" applyFill="1" applyBorder="1"/>
    <xf numFmtId="175" fontId="15" fillId="0" borderId="5" xfId="0" applyNumberFormat="1" applyFont="1" applyBorder="1"/>
    <xf numFmtId="0" fontId="15" fillId="0" borderId="0" xfId="0" applyFont="1" applyFill="1" applyBorder="1" applyAlignment="1">
      <alignment horizontal="left"/>
    </xf>
    <xf numFmtId="164" fontId="28" fillId="0" borderId="11" xfId="0" applyNumberFormat="1" applyFont="1" applyFill="1" applyBorder="1" applyAlignment="1">
      <alignment horizontal="center"/>
    </xf>
    <xf numFmtId="10" fontId="28" fillId="0" borderId="11" xfId="2" applyNumberFormat="1" applyFont="1" applyFill="1" applyBorder="1" applyAlignment="1">
      <alignment horizontal="center"/>
    </xf>
    <xf numFmtId="43" fontId="16" fillId="0" borderId="0" xfId="1" applyFont="1" applyBorder="1" applyAlignment="1">
      <alignment horizontal="center"/>
    </xf>
    <xf numFmtId="10" fontId="17" fillId="0" borderId="0" xfId="2" applyNumberFormat="1" applyFont="1" applyFill="1" applyBorder="1" applyAlignment="1"/>
    <xf numFmtId="167" fontId="20" fillId="0" borderId="5" xfId="2" applyNumberFormat="1" applyFont="1" applyFill="1" applyBorder="1"/>
    <xf numFmtId="165" fontId="20" fillId="0" borderId="5" xfId="1" applyNumberFormat="1" applyFont="1" applyFill="1" applyBorder="1"/>
    <xf numFmtId="167" fontId="15" fillId="0" borderId="0" xfId="2" applyNumberFormat="1" applyFont="1"/>
    <xf numFmtId="169" fontId="15" fillId="0" borderId="0" xfId="0" applyNumberFormat="1" applyFont="1" applyBorder="1"/>
    <xf numFmtId="10" fontId="29" fillId="0" borderId="5" xfId="0" applyNumberFormat="1" applyFont="1" applyBorder="1"/>
    <xf numFmtId="0" fontId="30" fillId="0" borderId="0" xfId="0" applyFont="1" applyBorder="1"/>
    <xf numFmtId="0" fontId="31" fillId="0" borderId="0" xfId="0" applyFont="1"/>
    <xf numFmtId="0" fontId="17" fillId="0" borderId="0" xfId="0" applyFont="1" applyAlignment="1">
      <alignment horizontal="center"/>
    </xf>
    <xf numFmtId="49" fontId="32" fillId="0" borderId="0" xfId="0" applyNumberFormat="1" applyFont="1"/>
    <xf numFmtId="0" fontId="20" fillId="0" borderId="15" xfId="0" applyFont="1" applyBorder="1"/>
    <xf numFmtId="10" fontId="20" fillId="2" borderId="15" xfId="2" applyNumberFormat="1" applyFont="1" applyFill="1" applyBorder="1" applyAlignment="1">
      <alignment horizontal="center"/>
    </xf>
    <xf numFmtId="10" fontId="20" fillId="4" borderId="15" xfId="2" applyNumberFormat="1" applyFont="1" applyFill="1" applyBorder="1" applyAlignment="1">
      <alignment horizontal="center"/>
    </xf>
    <xf numFmtId="10" fontId="20" fillId="3" borderId="16" xfId="2" applyNumberFormat="1" applyFont="1" applyFill="1" applyBorder="1" applyAlignment="1">
      <alignment horizontal="center"/>
    </xf>
    <xf numFmtId="0" fontId="30" fillId="0" borderId="1" xfId="0" applyFont="1" applyBorder="1"/>
    <xf numFmtId="0" fontId="15" fillId="0" borderId="1" xfId="0" applyFont="1" applyBorder="1"/>
    <xf numFmtId="170" fontId="15" fillId="0" borderId="1" xfId="0" applyNumberFormat="1" applyFont="1" applyBorder="1"/>
    <xf numFmtId="0" fontId="15" fillId="0" borderId="10" xfId="0" applyFont="1" applyBorder="1"/>
    <xf numFmtId="0" fontId="15" fillId="0" borderId="8" xfId="0" applyFont="1" applyFill="1" applyBorder="1"/>
    <xf numFmtId="0" fontId="15" fillId="0" borderId="1" xfId="0" applyFont="1" applyFill="1" applyBorder="1"/>
    <xf numFmtId="0" fontId="15" fillId="0" borderId="10" xfId="0" applyFont="1" applyFill="1" applyBorder="1"/>
    <xf numFmtId="10" fontId="15" fillId="0" borderId="0" xfId="2" applyNumberFormat="1" applyFont="1"/>
    <xf numFmtId="10" fontId="15" fillId="0" borderId="0" xfId="0" applyNumberFormat="1" applyFont="1"/>
    <xf numFmtId="0" fontId="20" fillId="0" borderId="16" xfId="0" applyFont="1" applyBorder="1"/>
    <xf numFmtId="1" fontId="20" fillId="2" borderId="15" xfId="0" applyNumberFormat="1" applyFont="1" applyFill="1" applyBorder="1" applyAlignment="1">
      <alignment horizontal="center"/>
    </xf>
    <xf numFmtId="1" fontId="20" fillId="4" borderId="15" xfId="0" applyNumberFormat="1" applyFont="1" applyFill="1" applyBorder="1" applyAlignment="1">
      <alignment horizontal="center"/>
    </xf>
    <xf numFmtId="1" fontId="20" fillId="3" borderId="16" xfId="0" applyNumberFormat="1" applyFont="1" applyFill="1" applyBorder="1" applyAlignment="1">
      <alignment horizontal="center"/>
    </xf>
    <xf numFmtId="10" fontId="15" fillId="0" borderId="0" xfId="0" applyNumberFormat="1" applyFont="1" applyFill="1" applyBorder="1"/>
    <xf numFmtId="10" fontId="15" fillId="0" borderId="0" xfId="1" applyNumberFormat="1" applyFont="1" applyFill="1" applyBorder="1"/>
    <xf numFmtId="164" fontId="15" fillId="0" borderId="0" xfId="1" applyNumberFormat="1" applyFont="1"/>
    <xf numFmtId="1" fontId="15" fillId="0" borderId="0" xfId="0" applyNumberFormat="1" applyFont="1"/>
    <xf numFmtId="2" fontId="15" fillId="0" borderId="0" xfId="0" applyNumberFormat="1" applyFont="1" applyAlignment="1">
      <alignment horizontal="right"/>
    </xf>
    <xf numFmtId="10" fontId="26" fillId="0" borderId="13" xfId="2" applyNumberFormat="1" applyFont="1" applyFill="1" applyBorder="1"/>
    <xf numFmtId="0" fontId="15" fillId="0" borderId="17" xfId="0" applyFont="1" applyBorder="1"/>
    <xf numFmtId="0" fontId="20" fillId="0" borderId="11" xfId="0" applyFont="1" applyBorder="1" applyAlignment="1">
      <alignment horizontal="right"/>
    </xf>
    <xf numFmtId="49" fontId="32" fillId="0" borderId="11" xfId="1" applyNumberFormat="1" applyFont="1" applyBorder="1" applyAlignment="1">
      <alignment horizontal="right"/>
    </xf>
    <xf numFmtId="1" fontId="33" fillId="0" borderId="0" xfId="0" applyNumberFormat="1" applyFont="1" applyFill="1" applyBorder="1" applyAlignment="1">
      <alignment horizontal="center"/>
    </xf>
    <xf numFmtId="165" fontId="15" fillId="0" borderId="0" xfId="1" applyNumberFormat="1" applyFont="1" applyFill="1" applyBorder="1"/>
    <xf numFmtId="10" fontId="26" fillId="0" borderId="0" xfId="2" applyNumberFormat="1" applyFont="1" applyFill="1" applyBorder="1" applyAlignment="1">
      <alignment horizontal="center"/>
    </xf>
    <xf numFmtId="0" fontId="15" fillId="5" borderId="19" xfId="0" applyFont="1" applyFill="1" applyBorder="1"/>
    <xf numFmtId="0" fontId="20" fillId="5" borderId="17" xfId="0" applyFont="1" applyFill="1" applyBorder="1" applyAlignment="1">
      <alignment horizontal="right"/>
    </xf>
    <xf numFmtId="1" fontId="20" fillId="5" borderId="11" xfId="0" applyNumberFormat="1" applyFont="1" applyFill="1" applyBorder="1" applyAlignment="1">
      <alignment horizontal="center" vertical="distributed"/>
    </xf>
    <xf numFmtId="164" fontId="26" fillId="0" borderId="0" xfId="1" applyNumberFormat="1" applyFont="1" applyFill="1" applyBorder="1" applyAlignment="1">
      <alignment horizontal="center"/>
    </xf>
    <xf numFmtId="0" fontId="15" fillId="6" borderId="11" xfId="0" applyFont="1" applyFill="1" applyBorder="1"/>
    <xf numFmtId="0" fontId="20" fillId="6" borderId="11" xfId="0" applyFont="1" applyFill="1" applyBorder="1" applyAlignment="1">
      <alignment horizontal="right"/>
    </xf>
    <xf numFmtId="1" fontId="20" fillId="6" borderId="11" xfId="0" applyNumberFormat="1" applyFont="1" applyFill="1" applyBorder="1" applyAlignment="1">
      <alignment horizontal="center" vertical="distributed"/>
    </xf>
    <xf numFmtId="165" fontId="15" fillId="0" borderId="0" xfId="0" applyNumberFormat="1" applyFont="1" applyFill="1" applyBorder="1"/>
    <xf numFmtId="43" fontId="18" fillId="7" borderId="17" xfId="1" applyFont="1" applyFill="1" applyBorder="1"/>
    <xf numFmtId="43" fontId="20" fillId="7" borderId="17" xfId="1" applyFont="1" applyFill="1" applyBorder="1" applyAlignment="1">
      <alignment horizontal="right"/>
    </xf>
    <xf numFmtId="1" fontId="20" fillId="7" borderId="11" xfId="0" applyNumberFormat="1" applyFont="1" applyFill="1" applyBorder="1" applyAlignment="1">
      <alignment horizontal="center" vertical="distributed"/>
    </xf>
    <xf numFmtId="49" fontId="15" fillId="0" borderId="0" xfId="0" applyNumberFormat="1" applyFont="1" applyFill="1" applyBorder="1"/>
    <xf numFmtId="1" fontId="15" fillId="0" borderId="0" xfId="0" applyNumberFormat="1" applyFont="1" applyAlignment="1">
      <alignment horizontal="center"/>
    </xf>
    <xf numFmtId="0" fontId="15" fillId="0" borderId="13" xfId="0" applyFont="1" applyFill="1" applyBorder="1"/>
    <xf numFmtId="0" fontId="15" fillId="0" borderId="17" xfId="0" applyFont="1" applyFill="1" applyBorder="1"/>
    <xf numFmtId="164" fontId="20" fillId="0" borderId="0" xfId="0" applyNumberFormat="1" applyFont="1" applyFill="1" applyBorder="1"/>
    <xf numFmtId="164" fontId="20" fillId="0" borderId="0" xfId="0" applyNumberFormat="1" applyFont="1" applyFill="1" applyBorder="1" applyAlignment="1">
      <alignment horizontal="center"/>
    </xf>
    <xf numFmtId="164" fontId="34" fillId="0" borderId="0" xfId="0" applyNumberFormat="1" applyFont="1" applyFill="1" applyBorder="1"/>
    <xf numFmtId="0" fontId="15" fillId="5" borderId="0" xfId="0" applyFont="1" applyFill="1" applyBorder="1"/>
    <xf numFmtId="0" fontId="20" fillId="5" borderId="21" xfId="0" applyFont="1" applyFill="1" applyBorder="1" applyAlignment="1">
      <alignment horizontal="right"/>
    </xf>
    <xf numFmtId="49" fontId="16" fillId="0" borderId="0" xfId="0" applyNumberFormat="1" applyFont="1"/>
    <xf numFmtId="0" fontId="15" fillId="3" borderId="17" xfId="0" applyFont="1" applyFill="1" applyBorder="1"/>
    <xf numFmtId="0" fontId="20" fillId="3" borderId="22" xfId="0" applyFont="1" applyFill="1" applyBorder="1" applyAlignment="1">
      <alignment horizontal="right"/>
    </xf>
    <xf numFmtId="1" fontId="20" fillId="3" borderId="22" xfId="0" applyNumberFormat="1" applyFont="1" applyFill="1" applyBorder="1" applyAlignment="1">
      <alignment horizontal="center" vertical="distributed"/>
    </xf>
    <xf numFmtId="1" fontId="20" fillId="3" borderId="11" xfId="0" applyNumberFormat="1" applyFont="1" applyFill="1" applyBorder="1" applyAlignment="1">
      <alignment horizontal="center" vertical="distributed"/>
    </xf>
    <xf numFmtId="0" fontId="35" fillId="0" borderId="0" xfId="0" applyFont="1" applyFill="1"/>
    <xf numFmtId="0" fontId="36" fillId="0" borderId="0" xfId="0" applyFont="1" applyFill="1" applyBorder="1"/>
    <xf numFmtId="43" fontId="18" fillId="7" borderId="0" xfId="1" applyFont="1" applyFill="1" applyBorder="1"/>
    <xf numFmtId="43" fontId="20" fillId="7" borderId="0" xfId="1" applyFont="1" applyFill="1" applyBorder="1" applyAlignment="1">
      <alignment horizontal="right"/>
    </xf>
    <xf numFmtId="0" fontId="15" fillId="0" borderId="23" xfId="0" applyFont="1" applyBorder="1" applyAlignment="1">
      <alignment horizontal="center"/>
    </xf>
    <xf numFmtId="0" fontId="15" fillId="0" borderId="12" xfId="0" applyFont="1" applyBorder="1" applyAlignment="1">
      <alignment horizontal="center"/>
    </xf>
    <xf numFmtId="43" fontId="18" fillId="0" borderId="0" xfId="1" applyFont="1" applyFill="1" applyBorder="1"/>
    <xf numFmtId="43" fontId="20" fillId="0" borderId="0" xfId="1" applyFont="1" applyFill="1" applyBorder="1" applyAlignment="1">
      <alignment horizontal="right"/>
    </xf>
    <xf numFmtId="2" fontId="20" fillId="0" borderId="0" xfId="0" applyNumberFormat="1" applyFont="1" applyFill="1" applyBorder="1" applyAlignment="1">
      <alignment horizontal="center"/>
    </xf>
    <xf numFmtId="0" fontId="17" fillId="0" borderId="0" xfId="0" applyFont="1" applyAlignment="1">
      <alignment horizontal="right"/>
    </xf>
    <xf numFmtId="0" fontId="15" fillId="0" borderId="18" xfId="0" applyFont="1" applyBorder="1" applyAlignment="1">
      <alignment horizontal="center"/>
    </xf>
    <xf numFmtId="0" fontId="15" fillId="0" borderId="24" xfId="0" applyFont="1" applyBorder="1" applyAlignment="1">
      <alignment horizontal="center"/>
    </xf>
    <xf numFmtId="0" fontId="15" fillId="0" borderId="0" xfId="0" applyFont="1" applyAlignment="1">
      <alignment horizontal="center"/>
    </xf>
    <xf numFmtId="0" fontId="16" fillId="0" borderId="11" xfId="0" applyFont="1" applyBorder="1" applyAlignment="1">
      <alignment horizontal="right"/>
    </xf>
    <xf numFmtId="164" fontId="16" fillId="0" borderId="11" xfId="1" applyNumberFormat="1" applyFont="1" applyFill="1" applyBorder="1"/>
    <xf numFmtId="43" fontId="15" fillId="0" borderId="11" xfId="1" applyFont="1" applyFill="1" applyBorder="1"/>
    <xf numFmtId="0" fontId="21" fillId="0" borderId="11" xfId="0" applyFont="1" applyBorder="1" applyAlignment="1">
      <alignment horizontal="right"/>
    </xf>
    <xf numFmtId="164" fontId="17" fillId="0" borderId="11" xfId="1" applyNumberFormat="1" applyFont="1" applyFill="1" applyBorder="1"/>
    <xf numFmtId="0" fontId="20" fillId="0" borderId="0" xfId="0" applyFont="1" applyBorder="1" applyAlignment="1">
      <alignment horizontal="right"/>
    </xf>
    <xf numFmtId="164" fontId="16" fillId="0" borderId="0" xfId="1" applyNumberFormat="1" applyFont="1" applyFill="1" applyBorder="1"/>
    <xf numFmtId="164" fontId="17" fillId="0" borderId="0" xfId="1" applyNumberFormat="1" applyFont="1" applyFill="1" applyBorder="1"/>
    <xf numFmtId="0" fontId="37" fillId="0" borderId="5" xfId="0" applyFont="1" applyBorder="1"/>
    <xf numFmtId="43" fontId="37" fillId="0" borderId="11" xfId="1" applyFont="1" applyBorder="1"/>
    <xf numFmtId="0" fontId="17" fillId="0" borderId="0" xfId="0" applyFont="1" applyBorder="1" applyAlignment="1">
      <alignment horizontal="right"/>
    </xf>
    <xf numFmtId="43" fontId="15" fillId="0" borderId="0" xfId="1" applyFont="1" applyBorder="1"/>
    <xf numFmtId="0" fontId="20" fillId="0" borderId="1" xfId="0" applyFont="1" applyBorder="1" applyAlignment="1">
      <alignment horizontal="right"/>
    </xf>
    <xf numFmtId="43" fontId="20" fillId="0" borderId="16" xfId="0" applyNumberFormat="1" applyFont="1" applyBorder="1"/>
    <xf numFmtId="171" fontId="15" fillId="0" borderId="0" xfId="0" applyNumberFormat="1" applyFont="1"/>
    <xf numFmtId="0" fontId="15" fillId="0" borderId="8" xfId="0" applyFont="1" applyFill="1" applyBorder="1" applyAlignment="1">
      <alignment horizontal="right"/>
    </xf>
    <xf numFmtId="165" fontId="20" fillId="8" borderId="9" xfId="1" applyNumberFormat="1" applyFont="1" applyFill="1" applyBorder="1"/>
    <xf numFmtId="0" fontId="20" fillId="0" borderId="0" xfId="0" applyFont="1" applyBorder="1" applyAlignment="1">
      <alignment horizontal="center"/>
    </xf>
    <xf numFmtId="9" fontId="15" fillId="0" borderId="0" xfId="2" applyFont="1" applyFill="1" applyBorder="1"/>
    <xf numFmtId="49" fontId="15" fillId="9" borderId="15" xfId="0" applyNumberFormat="1" applyFont="1" applyFill="1" applyBorder="1"/>
    <xf numFmtId="49" fontId="15" fillId="9" borderId="25" xfId="0" applyNumberFormat="1" applyFont="1" applyFill="1" applyBorder="1"/>
    <xf numFmtId="49" fontId="15" fillId="9" borderId="26" xfId="0" applyNumberFormat="1" applyFont="1" applyFill="1" applyBorder="1" applyAlignment="1">
      <alignment horizontal="right"/>
    </xf>
    <xf numFmtId="49" fontId="15" fillId="9" borderId="2" xfId="0" applyNumberFormat="1" applyFont="1" applyFill="1" applyBorder="1"/>
    <xf numFmtId="164" fontId="15" fillId="9" borderId="0" xfId="0" applyNumberFormat="1" applyFont="1" applyFill="1" applyBorder="1"/>
    <xf numFmtId="2" fontId="15" fillId="9" borderId="0" xfId="0" applyNumberFormat="1" applyFont="1" applyFill="1" applyBorder="1"/>
    <xf numFmtId="10" fontId="15" fillId="9" borderId="0" xfId="0" applyNumberFormat="1" applyFont="1" applyFill="1" applyBorder="1"/>
    <xf numFmtId="1" fontId="15" fillId="9" borderId="0" xfId="0" applyNumberFormat="1" applyFont="1" applyFill="1" applyBorder="1" applyAlignment="1">
      <alignment horizontal="center"/>
    </xf>
    <xf numFmtId="49" fontId="15" fillId="9" borderId="5" xfId="0" applyNumberFormat="1" applyFont="1" applyFill="1" applyBorder="1"/>
    <xf numFmtId="10" fontId="15" fillId="9" borderId="7" xfId="0" applyNumberFormat="1" applyFont="1" applyFill="1" applyBorder="1" applyAlignment="1">
      <alignment horizontal="center"/>
    </xf>
    <xf numFmtId="49" fontId="15" fillId="9" borderId="11" xfId="0" applyNumberFormat="1" applyFont="1" applyFill="1" applyBorder="1" applyAlignment="1">
      <alignment horizontal="center"/>
    </xf>
    <xf numFmtId="49" fontId="15" fillId="9" borderId="13" xfId="0" applyNumberFormat="1" applyFont="1" applyFill="1" applyBorder="1" applyAlignment="1">
      <alignment horizontal="center"/>
    </xf>
    <xf numFmtId="0" fontId="15" fillId="9" borderId="27" xfId="0" applyFont="1" applyFill="1" applyBorder="1" applyAlignment="1">
      <alignment horizontal="center"/>
    </xf>
    <xf numFmtId="0" fontId="15" fillId="9" borderId="5" xfId="0" applyFont="1" applyFill="1" applyBorder="1"/>
    <xf numFmtId="0" fontId="15" fillId="9" borderId="11" xfId="0" applyFont="1" applyFill="1" applyBorder="1" applyAlignment="1">
      <alignment horizontal="center"/>
    </xf>
    <xf numFmtId="49" fontId="15" fillId="9" borderId="8" xfId="0" applyNumberFormat="1" applyFont="1" applyFill="1" applyBorder="1"/>
    <xf numFmtId="0" fontId="15" fillId="9" borderId="1" xfId="0" applyFont="1" applyFill="1" applyBorder="1"/>
    <xf numFmtId="0" fontId="15" fillId="9" borderId="10" xfId="0" applyFont="1" applyFill="1" applyBorder="1"/>
    <xf numFmtId="49" fontId="20" fillId="9" borderId="11" xfId="0" applyNumberFormat="1" applyFont="1" applyFill="1" applyBorder="1" applyAlignment="1">
      <alignment horizontal="center" vertical="distributed"/>
    </xf>
    <xf numFmtId="0" fontId="20" fillId="9" borderId="11" xfId="0" applyFont="1" applyFill="1" applyBorder="1" applyAlignment="1">
      <alignment horizontal="center" vertical="distributed"/>
    </xf>
    <xf numFmtId="0" fontId="15" fillId="0" borderId="0" xfId="0" applyFont="1" applyAlignment="1">
      <alignment vertical="distributed"/>
    </xf>
    <xf numFmtId="0" fontId="15" fillId="0" borderId="0" xfId="0" applyFont="1" applyFill="1" applyBorder="1" applyAlignment="1">
      <alignment horizontal="center" vertical="distributed"/>
    </xf>
    <xf numFmtId="0" fontId="15" fillId="0" borderId="11" xfId="0" applyFont="1" applyBorder="1" applyAlignment="1">
      <alignment horizontal="center" vertical="distributed"/>
    </xf>
    <xf numFmtId="165" fontId="15" fillId="0" borderId="0" xfId="0" applyNumberFormat="1" applyFont="1" applyFill="1" applyBorder="1" applyAlignment="1">
      <alignment horizontal="center"/>
    </xf>
    <xf numFmtId="0" fontId="32" fillId="0" borderId="0" xfId="0" applyFont="1" applyFill="1" applyBorder="1" applyAlignment="1">
      <alignment horizontal="center"/>
    </xf>
    <xf numFmtId="0" fontId="20" fillId="0" borderId="9" xfId="0" applyFont="1" applyBorder="1" applyAlignment="1">
      <alignment horizontal="center" vertical="distributed"/>
    </xf>
    <xf numFmtId="164" fontId="20" fillId="0" borderId="16" xfId="1" applyNumberFormat="1" applyFont="1" applyBorder="1" applyAlignment="1">
      <alignment horizontal="center" vertical="distributed"/>
    </xf>
    <xf numFmtId="0" fontId="39" fillId="0" borderId="16" xfId="0" applyFont="1" applyFill="1" applyBorder="1" applyAlignment="1">
      <alignment horizontal="center" vertical="distributed"/>
    </xf>
    <xf numFmtId="0" fontId="15" fillId="0" borderId="0" xfId="0" applyFont="1" applyBorder="1" applyAlignment="1">
      <alignment horizontal="left"/>
    </xf>
    <xf numFmtId="0" fontId="20" fillId="0" borderId="3" xfId="0" applyFont="1" applyBorder="1" applyAlignment="1">
      <alignment horizontal="center" vertical="center" wrapText="1"/>
    </xf>
    <xf numFmtId="0" fontId="15" fillId="0" borderId="0" xfId="0" applyFont="1" applyFill="1" applyAlignment="1">
      <alignment horizontal="right"/>
    </xf>
    <xf numFmtId="49" fontId="34" fillId="0" borderId="15" xfId="0" applyNumberFormat="1" applyFont="1" applyBorder="1" applyAlignment="1">
      <alignment horizontal="right"/>
    </xf>
    <xf numFmtId="43" fontId="27" fillId="0" borderId="0" xfId="1" applyFont="1" applyFill="1" applyBorder="1" applyAlignment="1">
      <alignment horizontal="right"/>
    </xf>
    <xf numFmtId="0" fontId="40" fillId="0" borderId="0" xfId="0" applyFont="1"/>
    <xf numFmtId="166" fontId="15" fillId="0" borderId="0" xfId="1" applyNumberFormat="1" applyFont="1" applyFill="1" applyBorder="1"/>
    <xf numFmtId="0" fontId="41" fillId="0" borderId="0" xfId="0" applyFont="1"/>
    <xf numFmtId="175" fontId="15" fillId="0" borderId="0" xfId="0" applyNumberFormat="1" applyFont="1" applyFill="1" applyBorder="1"/>
    <xf numFmtId="0" fontId="34" fillId="0" borderId="25" xfId="0" applyFont="1" applyBorder="1" applyAlignment="1">
      <alignment horizontal="center"/>
    </xf>
    <xf numFmtId="176" fontId="15" fillId="0" borderId="15" xfId="0" applyNumberFormat="1" applyFont="1" applyBorder="1" applyAlignment="1">
      <alignment horizontal="center"/>
    </xf>
    <xf numFmtId="165" fontId="20" fillId="0" borderId="0" xfId="1" applyNumberFormat="1" applyFont="1" applyFill="1" applyBorder="1"/>
    <xf numFmtId="49" fontId="34" fillId="0" borderId="0" xfId="0" applyNumberFormat="1" applyFont="1" applyBorder="1" applyAlignment="1">
      <alignment horizontal="right"/>
    </xf>
    <xf numFmtId="0" fontId="34" fillId="0" borderId="0" xfId="0" applyFont="1" applyBorder="1" applyAlignment="1">
      <alignment horizontal="right"/>
    </xf>
    <xf numFmtId="1" fontId="20" fillId="0" borderId="0" xfId="0" applyNumberFormat="1" applyFont="1" applyFill="1" applyBorder="1" applyAlignment="1">
      <alignment horizontal="center"/>
    </xf>
    <xf numFmtId="10" fontId="20" fillId="0" borderId="0" xfId="2" applyNumberFormat="1" applyFont="1" applyFill="1" applyBorder="1"/>
    <xf numFmtId="169" fontId="15" fillId="0" borderId="0" xfId="0" applyNumberFormat="1" applyFont="1" applyFill="1" applyBorder="1"/>
    <xf numFmtId="10" fontId="29" fillId="0" borderId="0" xfId="0" applyNumberFormat="1" applyFont="1" applyFill="1" applyBorder="1"/>
    <xf numFmtId="0" fontId="30" fillId="0" borderId="0" xfId="0" applyFont="1" applyFill="1" applyBorder="1"/>
    <xf numFmtId="0" fontId="20" fillId="0" borderId="15" xfId="0" applyFont="1" applyBorder="1" applyAlignment="1">
      <alignment horizontal="center"/>
    </xf>
    <xf numFmtId="10" fontId="20" fillId="2" borderId="11" xfId="2" applyNumberFormat="1" applyFont="1" applyFill="1" applyBorder="1" applyAlignment="1">
      <alignment horizontal="center"/>
    </xf>
    <xf numFmtId="10" fontId="20" fillId="3" borderId="11" xfId="2" applyNumberFormat="1" applyFont="1" applyFill="1" applyBorder="1" applyAlignment="1">
      <alignment horizontal="center"/>
    </xf>
    <xf numFmtId="10" fontId="20" fillId="4" borderId="11" xfId="2" applyNumberFormat="1" applyFont="1" applyFill="1" applyBorder="1" applyAlignment="1">
      <alignment horizontal="center"/>
    </xf>
    <xf numFmtId="170" fontId="15" fillId="0" borderId="0" xfId="0" applyNumberFormat="1" applyFont="1" applyFill="1" applyBorder="1"/>
    <xf numFmtId="1" fontId="20" fillId="2" borderId="11" xfId="0" applyNumberFormat="1" applyFont="1" applyFill="1" applyBorder="1" applyAlignment="1">
      <alignment horizontal="center"/>
    </xf>
    <xf numFmtId="1" fontId="20" fillId="3" borderId="11" xfId="0" applyNumberFormat="1" applyFont="1" applyFill="1" applyBorder="1" applyAlignment="1">
      <alignment horizontal="center"/>
    </xf>
    <xf numFmtId="1" fontId="20" fillId="4" borderId="11" xfId="0" applyNumberFormat="1" applyFont="1" applyFill="1" applyBorder="1" applyAlignment="1">
      <alignment horizontal="center"/>
    </xf>
    <xf numFmtId="49" fontId="36" fillId="0" borderId="11" xfId="1" applyNumberFormat="1" applyFont="1" applyBorder="1" applyAlignment="1">
      <alignment horizontal="right"/>
    </xf>
    <xf numFmtId="1" fontId="34" fillId="0" borderId="0" xfId="0" applyNumberFormat="1" applyFont="1" applyFill="1" applyBorder="1" applyAlignment="1">
      <alignment horizontal="center"/>
    </xf>
    <xf numFmtId="0" fontId="20" fillId="5" borderId="24" xfId="0" applyFont="1" applyFill="1" applyBorder="1" applyAlignment="1">
      <alignment horizontal="right"/>
    </xf>
    <xf numFmtId="1" fontId="20" fillId="5" borderId="11" xfId="0" applyNumberFormat="1" applyFont="1" applyFill="1" applyBorder="1" applyAlignment="1">
      <alignment horizontal="center"/>
    </xf>
    <xf numFmtId="1" fontId="20" fillId="6" borderId="11" xfId="0" applyNumberFormat="1" applyFont="1" applyFill="1" applyBorder="1" applyAlignment="1">
      <alignment horizontal="center"/>
    </xf>
    <xf numFmtId="0" fontId="20" fillId="7" borderId="11" xfId="0" applyFont="1" applyFill="1" applyBorder="1" applyAlignment="1">
      <alignment horizontal="right"/>
    </xf>
    <xf numFmtId="1" fontId="20" fillId="7" borderId="11" xfId="0" applyNumberFormat="1" applyFont="1" applyFill="1" applyBorder="1" applyAlignment="1">
      <alignment horizontal="center"/>
    </xf>
    <xf numFmtId="1" fontId="20" fillId="0" borderId="0" xfId="0" applyNumberFormat="1" applyFont="1" applyFill="1" applyBorder="1" applyAlignment="1"/>
    <xf numFmtId="0" fontId="20" fillId="3" borderId="0" xfId="0" applyFont="1" applyFill="1" applyBorder="1" applyAlignment="1">
      <alignment horizontal="right"/>
    </xf>
    <xf numFmtId="1" fontId="20" fillId="3" borderId="22" xfId="0" applyNumberFormat="1" applyFont="1" applyFill="1" applyBorder="1" applyAlignment="1">
      <alignment horizontal="center"/>
    </xf>
    <xf numFmtId="0" fontId="20" fillId="7" borderId="24" xfId="0" applyFont="1" applyFill="1" applyBorder="1" applyAlignment="1">
      <alignment horizontal="right"/>
    </xf>
    <xf numFmtId="2" fontId="15" fillId="9" borderId="21" xfId="0" applyNumberFormat="1" applyFont="1" applyFill="1" applyBorder="1" applyAlignment="1">
      <alignment horizontal="center"/>
    </xf>
    <xf numFmtId="10" fontId="15" fillId="9" borderId="21" xfId="2" applyNumberFormat="1" applyFont="1" applyFill="1" applyBorder="1" applyAlignment="1">
      <alignment horizontal="center"/>
    </xf>
    <xf numFmtId="1" fontId="15" fillId="9" borderId="38" xfId="0" applyNumberFormat="1" applyFont="1" applyFill="1" applyBorder="1" applyAlignment="1">
      <alignment horizontal="center"/>
    </xf>
    <xf numFmtId="2" fontId="15" fillId="9" borderId="0" xfId="0" applyNumberFormat="1" applyFont="1" applyFill="1" applyBorder="1" applyAlignment="1">
      <alignment horizontal="center"/>
    </xf>
    <xf numFmtId="10" fontId="15" fillId="9" borderId="0" xfId="2" applyNumberFormat="1" applyFont="1" applyFill="1" applyBorder="1" applyAlignment="1">
      <alignment horizontal="center"/>
    </xf>
    <xf numFmtId="1" fontId="15" fillId="9" borderId="39" xfId="0" applyNumberFormat="1" applyFont="1" applyFill="1" applyBorder="1" applyAlignment="1">
      <alignment horizontal="center"/>
    </xf>
    <xf numFmtId="0" fontId="20" fillId="0" borderId="5" xfId="0" applyFont="1" applyBorder="1" applyAlignment="1">
      <alignment horizontal="center" vertical="distributed"/>
    </xf>
    <xf numFmtId="0" fontId="20" fillId="0" borderId="6" xfId="0" applyFont="1" applyBorder="1" applyAlignment="1">
      <alignment horizontal="center" vertical="distributed"/>
    </xf>
    <xf numFmtId="0" fontId="20" fillId="0" borderId="8" xfId="0" applyFont="1" applyBorder="1" applyAlignment="1">
      <alignment horizontal="center" vertical="distributed"/>
    </xf>
    <xf numFmtId="164" fontId="20" fillId="0" borderId="36" xfId="1" applyNumberFormat="1" applyFont="1" applyBorder="1" applyAlignment="1">
      <alignment horizontal="center" vertical="distributed"/>
    </xf>
    <xf numFmtId="0" fontId="20" fillId="0" borderId="0" xfId="0" applyFont="1" applyFill="1" applyBorder="1" applyAlignment="1">
      <alignment horizontal="left" vertical="center"/>
    </xf>
    <xf numFmtId="0" fontId="15" fillId="0" borderId="0" xfId="0" applyFont="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Alignment="1">
      <alignment vertical="center"/>
    </xf>
    <xf numFmtId="0" fontId="15" fillId="0" borderId="40" xfId="0" applyFont="1" applyFill="1" applyBorder="1" applyAlignment="1">
      <alignment horizontal="left" vertical="center"/>
    </xf>
    <xf numFmtId="0" fontId="15" fillId="0" borderId="31" xfId="0" applyFont="1" applyBorder="1" applyAlignment="1">
      <alignment horizontal="center" vertical="center"/>
    </xf>
    <xf numFmtId="0" fontId="15" fillId="0" borderId="31" xfId="0" applyFont="1" applyFill="1" applyBorder="1" applyAlignment="1" applyProtection="1">
      <alignment horizontal="center" vertical="center"/>
    </xf>
    <xf numFmtId="49" fontId="15" fillId="0" borderId="31" xfId="0" applyNumberFormat="1" applyFont="1" applyFill="1" applyBorder="1" applyAlignment="1">
      <alignment horizontal="center" vertical="center"/>
    </xf>
    <xf numFmtId="10" fontId="15" fillId="0" borderId="32" xfId="2" applyNumberFormat="1" applyFont="1" applyFill="1" applyBorder="1" applyAlignment="1">
      <alignment horizontal="center" vertical="center"/>
    </xf>
    <xf numFmtId="0" fontId="15" fillId="0" borderId="0" xfId="0" applyFont="1" applyBorder="1" applyAlignment="1">
      <alignment horizontal="center" vertical="center"/>
    </xf>
    <xf numFmtId="49" fontId="15" fillId="0" borderId="0" xfId="0" applyNumberFormat="1" applyFont="1" applyBorder="1" applyAlignment="1">
      <alignment vertical="center"/>
    </xf>
    <xf numFmtId="49" fontId="15" fillId="0" borderId="41" xfId="0" applyNumberFormat="1" applyFont="1" applyFill="1" applyBorder="1" applyAlignment="1">
      <alignment horizontal="left" vertical="center"/>
    </xf>
    <xf numFmtId="0" fontId="15" fillId="0" borderId="26" xfId="0" applyFont="1" applyFill="1" applyBorder="1" applyAlignment="1">
      <alignment horizontal="center" vertical="center"/>
    </xf>
    <xf numFmtId="49" fontId="15" fillId="0" borderId="26" xfId="0" applyNumberFormat="1" applyFont="1" applyFill="1" applyBorder="1" applyAlignment="1">
      <alignment horizontal="center" vertical="center"/>
    </xf>
    <xf numFmtId="10" fontId="15" fillId="0" borderId="42" xfId="2" applyNumberFormat="1" applyFont="1" applyFill="1" applyBorder="1" applyAlignment="1">
      <alignment horizontal="center" vertical="center"/>
    </xf>
    <xf numFmtId="49" fontId="15" fillId="0" borderId="30" xfId="0" applyNumberFormat="1" applyFont="1" applyFill="1" applyBorder="1" applyAlignment="1">
      <alignment horizontal="left" vertical="center"/>
    </xf>
    <xf numFmtId="0" fontId="15" fillId="0" borderId="11" xfId="0" applyFont="1" applyFill="1" applyBorder="1" applyAlignment="1">
      <alignment horizontal="center" vertical="center"/>
    </xf>
    <xf numFmtId="49" fontId="15" fillId="0" borderId="11" xfId="0" applyNumberFormat="1" applyFont="1" applyFill="1" applyBorder="1" applyAlignment="1">
      <alignment horizontal="center" vertical="center"/>
    </xf>
    <xf numFmtId="10" fontId="42" fillId="0" borderId="27" xfId="2" applyNumberFormat="1" applyFont="1" applyFill="1" applyBorder="1" applyAlignment="1">
      <alignment horizontal="center" vertical="center"/>
    </xf>
    <xf numFmtId="10" fontId="15" fillId="0" borderId="27" xfId="2" applyNumberFormat="1" applyFont="1" applyFill="1" applyBorder="1" applyAlignment="1">
      <alignment horizontal="center" vertical="center"/>
    </xf>
    <xf numFmtId="0" fontId="15" fillId="0" borderId="43" xfId="0" applyFont="1" applyFill="1" applyBorder="1" applyAlignment="1">
      <alignment horizontal="left" vertical="center"/>
    </xf>
    <xf numFmtId="0" fontId="15" fillId="0" borderId="28" xfId="0" applyFont="1" applyBorder="1" applyAlignment="1">
      <alignment horizontal="center" vertical="center"/>
    </xf>
    <xf numFmtId="0" fontId="15" fillId="0" borderId="28" xfId="0" applyFont="1" applyFill="1" applyBorder="1" applyAlignment="1">
      <alignment horizontal="center" vertical="center"/>
    </xf>
    <xf numFmtId="49" fontId="15" fillId="0" borderId="28" xfId="0" applyNumberFormat="1" applyFont="1" applyFill="1" applyBorder="1" applyAlignment="1">
      <alignment horizontal="center" vertical="center"/>
    </xf>
    <xf numFmtId="10" fontId="15" fillId="0" borderId="35" xfId="2" applyNumberFormat="1" applyFont="1" applyFill="1" applyBorder="1" applyAlignment="1">
      <alignment horizontal="center" vertical="center"/>
    </xf>
    <xf numFmtId="0" fontId="15" fillId="0" borderId="41" xfId="0" applyFont="1" applyBorder="1" applyAlignment="1">
      <alignment horizontal="left" vertical="center"/>
    </xf>
    <xf numFmtId="0" fontId="15" fillId="0" borderId="44" xfId="0" applyFont="1" applyFill="1" applyBorder="1" applyAlignment="1">
      <alignment horizontal="center" vertical="center"/>
    </xf>
    <xf numFmtId="49" fontId="43" fillId="0" borderId="26" xfId="0" applyNumberFormat="1" applyFont="1" applyBorder="1" applyAlignment="1">
      <alignment horizontal="center" vertical="center"/>
    </xf>
    <xf numFmtId="9" fontId="42" fillId="0" borderId="42" xfId="0" applyNumberFormat="1" applyFont="1" applyBorder="1" applyAlignment="1">
      <alignment horizontal="center" vertical="center"/>
    </xf>
    <xf numFmtId="0" fontId="15" fillId="0" borderId="29" xfId="0" applyFont="1" applyBorder="1" applyAlignment="1">
      <alignment horizontal="left" vertical="center"/>
    </xf>
    <xf numFmtId="0" fontId="15" fillId="0" borderId="45" xfId="0" applyFont="1" applyFill="1" applyBorder="1" applyAlignment="1">
      <alignment horizontal="center" vertical="center"/>
    </xf>
    <xf numFmtId="49" fontId="43" fillId="0" borderId="28" xfId="0" applyNumberFormat="1" applyFont="1" applyBorder="1" applyAlignment="1">
      <alignment horizontal="center" vertical="center"/>
    </xf>
    <xf numFmtId="9" fontId="42" fillId="0" borderId="35" xfId="0" applyNumberFormat="1" applyFont="1" applyBorder="1" applyAlignment="1">
      <alignment horizontal="center" vertical="center"/>
    </xf>
    <xf numFmtId="0" fontId="15" fillId="0" borderId="0" xfId="0" applyFont="1" applyBorder="1" applyAlignment="1">
      <alignment horizontal="left" vertical="center"/>
    </xf>
    <xf numFmtId="0" fontId="15" fillId="0" borderId="0" xfId="0" applyFont="1" applyFill="1" applyBorder="1" applyAlignment="1">
      <alignment horizontal="center" vertical="center"/>
    </xf>
    <xf numFmtId="49" fontId="15" fillId="0" borderId="0" xfId="0" applyNumberFormat="1" applyFont="1" applyFill="1" applyBorder="1" applyAlignment="1">
      <alignment horizontal="center" vertical="center"/>
    </xf>
    <xf numFmtId="49" fontId="43" fillId="0" borderId="0" xfId="0" applyNumberFormat="1" applyFont="1" applyBorder="1" applyAlignment="1">
      <alignment horizontal="center" vertical="center"/>
    </xf>
    <xf numFmtId="9" fontId="15" fillId="0" borderId="0" xfId="0" applyNumberFormat="1" applyFont="1" applyBorder="1" applyAlignment="1">
      <alignment horizontal="center" vertical="center"/>
    </xf>
    <xf numFmtId="49" fontId="15" fillId="0" borderId="26" xfId="0" applyNumberFormat="1" applyFont="1" applyBorder="1" applyAlignment="1">
      <alignment horizontal="center" vertical="center"/>
    </xf>
    <xf numFmtId="10" fontId="15" fillId="0" borderId="42" xfId="0" applyNumberFormat="1" applyFont="1" applyBorder="1" applyAlignment="1">
      <alignment horizontal="center" vertical="center"/>
    </xf>
    <xf numFmtId="0" fontId="15" fillId="0" borderId="30" xfId="0" applyFont="1" applyBorder="1" applyAlignment="1">
      <alignment horizontal="left" vertical="center"/>
    </xf>
    <xf numFmtId="0" fontId="15" fillId="0" borderId="13" xfId="0" applyFont="1" applyFill="1" applyBorder="1" applyAlignment="1">
      <alignment horizontal="center" vertical="center"/>
    </xf>
    <xf numFmtId="10" fontId="15" fillId="0" borderId="27" xfId="0" applyNumberFormat="1" applyFont="1" applyBorder="1" applyAlignment="1">
      <alignment horizontal="center" vertical="center"/>
    </xf>
    <xf numFmtId="10" fontId="42" fillId="0" borderId="35" xfId="0" applyNumberFormat="1" applyFont="1" applyBorder="1" applyAlignment="1">
      <alignment horizontal="center" vertical="center"/>
    </xf>
    <xf numFmtId="10" fontId="15" fillId="0" borderId="0" xfId="0" applyNumberFormat="1" applyFont="1" applyBorder="1" applyAlignment="1">
      <alignment horizontal="center" vertical="center"/>
    </xf>
    <xf numFmtId="0" fontId="15" fillId="0" borderId="29" xfId="0" applyFont="1" applyBorder="1" applyAlignment="1">
      <alignment vertical="center"/>
    </xf>
    <xf numFmtId="0" fontId="15" fillId="0" borderId="45" xfId="0" applyFont="1" applyBorder="1" applyAlignment="1">
      <alignment horizontal="center" vertical="center"/>
    </xf>
    <xf numFmtId="10" fontId="15" fillId="0" borderId="35" xfId="0" applyNumberFormat="1" applyFont="1" applyBorder="1" applyAlignment="1">
      <alignment horizontal="center" vertical="center"/>
    </xf>
    <xf numFmtId="49" fontId="15" fillId="0" borderId="0" xfId="0" applyNumberFormat="1" applyFont="1" applyAlignment="1">
      <alignment vertical="center"/>
    </xf>
    <xf numFmtId="49" fontId="15" fillId="0" borderId="28" xfId="0" applyNumberFormat="1" applyFont="1" applyBorder="1" applyAlignment="1">
      <alignment horizontal="center" vertical="center"/>
    </xf>
    <xf numFmtId="10" fontId="15" fillId="0" borderId="26" xfId="0" applyNumberFormat="1" applyFont="1" applyFill="1" applyBorder="1" applyAlignment="1">
      <alignment horizontal="center" vertical="center"/>
    </xf>
    <xf numFmtId="49" fontId="38" fillId="10" borderId="42" xfId="0" applyNumberFormat="1" applyFont="1" applyFill="1" applyBorder="1" applyAlignment="1">
      <alignment horizontal="center" vertical="center"/>
    </xf>
    <xf numFmtId="10" fontId="15" fillId="0" borderId="11" xfId="0" applyNumberFormat="1" applyFont="1" applyFill="1" applyBorder="1" applyAlignment="1">
      <alignment horizontal="center" vertical="center"/>
    </xf>
    <xf numFmtId="49" fontId="38" fillId="10" borderId="27" xfId="0" applyNumberFormat="1" applyFont="1" applyFill="1" applyBorder="1" applyAlignment="1">
      <alignment horizontal="center" vertical="center"/>
    </xf>
    <xf numFmtId="49" fontId="42" fillId="10" borderId="27" xfId="0" applyNumberFormat="1" applyFont="1" applyFill="1" applyBorder="1" applyAlignment="1">
      <alignment horizontal="center" vertical="center"/>
    </xf>
    <xf numFmtId="0" fontId="15" fillId="0" borderId="30" xfId="0" applyFont="1" applyFill="1" applyBorder="1" applyAlignment="1">
      <alignment horizontal="left" vertical="center"/>
    </xf>
    <xf numFmtId="49" fontId="15" fillId="0" borderId="27" xfId="0" applyNumberFormat="1" applyFont="1" applyFill="1" applyBorder="1" applyAlignment="1">
      <alignment horizontal="center" vertical="center"/>
    </xf>
    <xf numFmtId="10" fontId="15" fillId="0" borderId="28" xfId="0" applyNumberFormat="1" applyFont="1" applyBorder="1" applyAlignment="1">
      <alignment horizontal="center" vertical="center"/>
    </xf>
    <xf numFmtId="49" fontId="15" fillId="0" borderId="35" xfId="0" applyNumberFormat="1" applyFont="1" applyFill="1" applyBorder="1" applyAlignment="1">
      <alignment horizontal="center" vertical="center"/>
    </xf>
    <xf numFmtId="49" fontId="15" fillId="0" borderId="32" xfId="0" applyNumberFormat="1" applyFont="1" applyFill="1" applyBorder="1" applyAlignment="1">
      <alignment horizontal="center" vertical="center"/>
    </xf>
    <xf numFmtId="10" fontId="15" fillId="0" borderId="11" xfId="2" applyNumberFormat="1" applyFont="1" applyBorder="1" applyAlignment="1">
      <alignment horizontal="center" vertical="center"/>
    </xf>
    <xf numFmtId="0" fontId="47" fillId="0" borderId="0" xfId="0" applyFont="1"/>
    <xf numFmtId="0" fontId="48" fillId="0" borderId="30" xfId="0" applyFont="1" applyBorder="1" applyAlignment="1">
      <alignment horizontal="center"/>
    </xf>
    <xf numFmtId="0" fontId="48" fillId="0" borderId="27" xfId="0" applyFont="1" applyBorder="1" applyAlignment="1">
      <alignment horizontal="center"/>
    </xf>
    <xf numFmtId="0" fontId="48" fillId="0" borderId="43" xfId="0" applyFont="1" applyBorder="1" applyAlignment="1">
      <alignment horizontal="left"/>
    </xf>
    <xf numFmtId="0" fontId="48" fillId="0" borderId="47" xfId="0" applyFont="1" applyBorder="1" applyAlignment="1">
      <alignment horizontal="center"/>
    </xf>
    <xf numFmtId="0" fontId="49" fillId="0" borderId="48" xfId="0" applyFont="1" applyBorder="1" applyAlignment="1">
      <alignment horizontal="left"/>
    </xf>
    <xf numFmtId="0" fontId="48" fillId="0" borderId="29" xfId="0" applyFont="1" applyBorder="1" applyAlignment="1">
      <alignment horizontal="center"/>
    </xf>
    <xf numFmtId="0" fontId="48" fillId="0" borderId="35" xfId="0" applyFont="1" applyBorder="1" applyAlignment="1">
      <alignment horizontal="center"/>
    </xf>
    <xf numFmtId="10" fontId="50" fillId="11" borderId="11" xfId="2" applyNumberFormat="1" applyFont="1" applyFill="1" applyBorder="1" applyAlignment="1">
      <alignment horizontal="center" vertical="center"/>
    </xf>
    <xf numFmtId="10" fontId="50" fillId="11" borderId="28" xfId="2" applyNumberFormat="1" applyFont="1" applyFill="1" applyBorder="1" applyAlignment="1">
      <alignment horizontal="center" vertical="center"/>
    </xf>
    <xf numFmtId="49" fontId="38" fillId="11" borderId="11" xfId="0" applyNumberFormat="1" applyFont="1" applyFill="1" applyBorder="1" applyAlignment="1">
      <alignment horizontal="center" vertical="center"/>
    </xf>
    <xf numFmtId="49" fontId="42" fillId="11" borderId="11" xfId="0" applyNumberFormat="1" applyFont="1" applyFill="1" applyBorder="1" applyAlignment="1">
      <alignment horizontal="center" vertical="center"/>
    </xf>
    <xf numFmtId="0" fontId="51" fillId="0" borderId="0" xfId="0" applyFont="1"/>
    <xf numFmtId="164" fontId="15" fillId="0" borderId="0" xfId="0" applyNumberFormat="1" applyFont="1" applyBorder="1"/>
    <xf numFmtId="9" fontId="15" fillId="0" borderId="0" xfId="0" applyNumberFormat="1" applyFont="1" applyBorder="1"/>
    <xf numFmtId="166" fontId="15" fillId="2" borderId="5" xfId="1" applyNumberFormat="1" applyFont="1" applyFill="1" applyBorder="1"/>
    <xf numFmtId="10" fontId="20" fillId="2" borderId="30" xfId="2" applyNumberFormat="1" applyFont="1" applyFill="1" applyBorder="1"/>
    <xf numFmtId="10" fontId="29" fillId="0" borderId="29" xfId="0" applyNumberFormat="1" applyFont="1" applyBorder="1"/>
    <xf numFmtId="165" fontId="15" fillId="0" borderId="0" xfId="0" applyNumberFormat="1" applyFont="1"/>
    <xf numFmtId="176" fontId="15" fillId="0" borderId="11" xfId="0" applyNumberFormat="1" applyFont="1" applyBorder="1" applyAlignment="1">
      <alignment horizontal="center" vertical="distributed"/>
    </xf>
    <xf numFmtId="0" fontId="52" fillId="0" borderId="16" xfId="0" applyFont="1" applyBorder="1" applyAlignment="1">
      <alignment horizontal="center" vertical="center" wrapText="1"/>
    </xf>
    <xf numFmtId="0" fontId="52" fillId="0" borderId="15" xfId="0" applyFont="1" applyBorder="1" applyAlignment="1">
      <alignment horizontal="center" vertical="center" wrapText="1"/>
    </xf>
    <xf numFmtId="2" fontId="15" fillId="10" borderId="15" xfId="0" applyNumberFormat="1" applyFont="1" applyFill="1" applyBorder="1" applyAlignment="1">
      <alignment horizontal="center" vertical="center"/>
    </xf>
    <xf numFmtId="2" fontId="15" fillId="10" borderId="16" xfId="0" applyNumberFormat="1" applyFont="1" applyFill="1" applyBorder="1" applyAlignment="1">
      <alignment horizontal="center" vertical="center"/>
    </xf>
    <xf numFmtId="164" fontId="20" fillId="0" borderId="16" xfId="1" applyNumberFormat="1" applyFont="1" applyBorder="1" applyAlignment="1">
      <alignment horizontal="center" vertical="center" wrapText="1"/>
    </xf>
    <xf numFmtId="164" fontId="20" fillId="0" borderId="11" xfId="0" applyNumberFormat="1" applyFont="1" applyBorder="1"/>
    <xf numFmtId="0" fontId="20" fillId="0" borderId="34" xfId="0" applyFont="1" applyBorder="1" applyAlignment="1">
      <alignment horizontal="center"/>
    </xf>
    <xf numFmtId="0" fontId="20" fillId="0" borderId="24" xfId="0" applyFont="1" applyBorder="1" applyAlignment="1">
      <alignment horizontal="center"/>
    </xf>
    <xf numFmtId="164" fontId="20" fillId="10" borderId="24" xfId="0" applyNumberFormat="1" applyFont="1" applyFill="1" applyBorder="1"/>
    <xf numFmtId="18" fontId="15" fillId="0" borderId="2" xfId="1" applyNumberFormat="1" applyFont="1" applyBorder="1" applyAlignment="1">
      <alignment horizontal="center"/>
    </xf>
    <xf numFmtId="0" fontId="20" fillId="0" borderId="55" xfId="0" applyFont="1" applyBorder="1" applyAlignment="1">
      <alignment horizontal="center"/>
    </xf>
    <xf numFmtId="0" fontId="20" fillId="0" borderId="54" xfId="0" applyFont="1" applyBorder="1"/>
    <xf numFmtId="18" fontId="15" fillId="0" borderId="5" xfId="1" applyNumberFormat="1" applyFont="1" applyBorder="1" applyAlignment="1">
      <alignment horizontal="center"/>
    </xf>
    <xf numFmtId="164" fontId="20" fillId="10" borderId="27" xfId="1" applyNumberFormat="1" applyFont="1" applyFill="1" applyBorder="1"/>
    <xf numFmtId="0" fontId="22" fillId="0" borderId="29" xfId="0" applyFont="1" applyBorder="1" applyAlignment="1">
      <alignment horizontal="right"/>
    </xf>
    <xf numFmtId="164" fontId="20" fillId="0" borderId="28" xfId="0" applyNumberFormat="1" applyFont="1" applyBorder="1" applyAlignment="1">
      <alignment horizontal="right"/>
    </xf>
    <xf numFmtId="164" fontId="20" fillId="0" borderId="35" xfId="0" applyNumberFormat="1" applyFont="1" applyBorder="1" applyAlignment="1">
      <alignment horizontal="right"/>
    </xf>
    <xf numFmtId="0" fontId="56" fillId="0" borderId="31" xfId="0" applyFont="1" applyFill="1" applyBorder="1" applyAlignment="1">
      <alignment horizontal="center" vertical="center"/>
    </xf>
    <xf numFmtId="0" fontId="56" fillId="0" borderId="0" xfId="0" applyFont="1" applyBorder="1" applyAlignment="1">
      <alignment horizontal="center"/>
    </xf>
    <xf numFmtId="10" fontId="56" fillId="0" borderId="26" xfId="0" applyNumberFormat="1" applyFont="1" applyFill="1" applyBorder="1" applyAlignment="1">
      <alignment horizontal="center" vertical="center"/>
    </xf>
    <xf numFmtId="0" fontId="56" fillId="0" borderId="26" xfId="0" applyFont="1" applyFill="1" applyBorder="1" applyAlignment="1">
      <alignment horizontal="center" vertical="center"/>
    </xf>
    <xf numFmtId="10" fontId="56" fillId="0" borderId="11" xfId="0" applyNumberFormat="1" applyFont="1" applyFill="1" applyBorder="1" applyAlignment="1">
      <alignment horizontal="center" vertical="center"/>
    </xf>
    <xf numFmtId="0" fontId="56" fillId="0" borderId="11" xfId="0" applyFont="1" applyFill="1" applyBorder="1" applyAlignment="1">
      <alignment horizontal="center" vertical="center"/>
    </xf>
    <xf numFmtId="10" fontId="56" fillId="0" borderId="28" xfId="0" applyNumberFormat="1" applyFont="1" applyBorder="1" applyAlignment="1">
      <alignment horizontal="center" vertical="center"/>
    </xf>
    <xf numFmtId="0" fontId="56" fillId="0" borderId="28" xfId="0" applyFont="1" applyFill="1" applyBorder="1" applyAlignment="1">
      <alignment horizontal="center" vertical="center"/>
    </xf>
    <xf numFmtId="0" fontId="15" fillId="0" borderId="38" xfId="0" applyFont="1" applyBorder="1"/>
    <xf numFmtId="0" fontId="58" fillId="0" borderId="0" xfId="0" applyFont="1"/>
    <xf numFmtId="0" fontId="58" fillId="0" borderId="0" xfId="0" applyFont="1" applyBorder="1" applyAlignment="1">
      <alignment vertical="center"/>
    </xf>
    <xf numFmtId="10" fontId="58" fillId="12" borderId="27" xfId="0" applyNumberFormat="1" applyFont="1" applyFill="1" applyBorder="1" applyAlignment="1">
      <alignment vertical="center"/>
    </xf>
    <xf numFmtId="0" fontId="58" fillId="0" borderId="0" xfId="0" applyFont="1" applyFill="1" applyBorder="1" applyAlignment="1">
      <alignment horizontal="right"/>
    </xf>
    <xf numFmtId="0" fontId="59" fillId="0" borderId="0" xfId="0" applyFont="1" applyFill="1" applyBorder="1"/>
    <xf numFmtId="0" fontId="58" fillId="0" borderId="0" xfId="0" applyFont="1" applyFill="1" applyAlignment="1">
      <alignment horizontal="right"/>
    </xf>
    <xf numFmtId="0" fontId="58" fillId="0" borderId="0" xfId="0" applyFont="1" applyFill="1"/>
    <xf numFmtId="0" fontId="60" fillId="0" borderId="0" xfId="0" applyFont="1"/>
    <xf numFmtId="0" fontId="59" fillId="0" borderId="0" xfId="0" applyFont="1"/>
    <xf numFmtId="10" fontId="58" fillId="13" borderId="24" xfId="2" applyNumberFormat="1" applyFont="1" applyFill="1" applyBorder="1" applyAlignment="1">
      <alignment horizontal="right" vertical="center"/>
    </xf>
    <xf numFmtId="10" fontId="58" fillId="13" borderId="11" xfId="2" applyNumberFormat="1" applyFont="1" applyFill="1" applyBorder="1" applyAlignment="1">
      <alignment horizontal="right" vertical="center"/>
    </xf>
    <xf numFmtId="174" fontId="59" fillId="12" borderId="11" xfId="0" applyNumberFormat="1" applyFont="1" applyFill="1" applyBorder="1" applyAlignment="1">
      <alignment horizontal="right" vertical="center"/>
    </xf>
    <xf numFmtId="174" fontId="59" fillId="12" borderId="28" xfId="0" applyNumberFormat="1" applyFont="1" applyFill="1" applyBorder="1" applyAlignment="1">
      <alignment horizontal="right" vertical="center"/>
    </xf>
    <xf numFmtId="0" fontId="54" fillId="0" borderId="0" xfId="0" applyFont="1"/>
    <xf numFmtId="0" fontId="0" fillId="0" borderId="0" xfId="0" applyFont="1"/>
    <xf numFmtId="0" fontId="63" fillId="0" borderId="0" xfId="0" applyFont="1" applyAlignment="1">
      <alignment horizontal="right"/>
    </xf>
    <xf numFmtId="0" fontId="63" fillId="0" borderId="0" xfId="0" applyFont="1"/>
    <xf numFmtId="0" fontId="64" fillId="0" borderId="0" xfId="0" applyFont="1" applyFill="1" applyBorder="1" applyAlignment="1">
      <alignment horizontal="center" vertical="distributed"/>
    </xf>
    <xf numFmtId="43" fontId="64" fillId="0" borderId="0" xfId="1" applyFont="1" applyFill="1" applyBorder="1" applyAlignment="1">
      <alignment horizontal="center" vertical="distributed"/>
    </xf>
    <xf numFmtId="0" fontId="65" fillId="0" borderId="0" xfId="0" applyFont="1" applyFill="1" applyBorder="1" applyAlignment="1">
      <alignment horizontal="center" vertical="distributed"/>
    </xf>
    <xf numFmtId="10" fontId="0" fillId="0" borderId="0" xfId="2" applyNumberFormat="1" applyFont="1"/>
    <xf numFmtId="43" fontId="64" fillId="0" borderId="0" xfId="1" applyFont="1" applyFill="1" applyBorder="1"/>
    <xf numFmtId="43" fontId="64" fillId="0" borderId="0" xfId="0" applyNumberFormat="1" applyFont="1" applyFill="1" applyBorder="1"/>
    <xf numFmtId="171" fontId="64" fillId="0" borderId="0" xfId="0" applyNumberFormat="1" applyFont="1" applyFill="1" applyBorder="1"/>
    <xf numFmtId="10" fontId="65" fillId="0" borderId="0" xfId="2" applyNumberFormat="1" applyFont="1" applyFill="1" applyBorder="1"/>
    <xf numFmtId="43" fontId="0" fillId="0" borderId="0" xfId="1" applyFont="1"/>
    <xf numFmtId="0" fontId="15" fillId="0" borderId="29" xfId="0" applyFont="1" applyFill="1" applyBorder="1" applyAlignment="1">
      <alignment horizontal="left" vertical="center" wrapText="1"/>
    </xf>
    <xf numFmtId="0" fontId="15" fillId="0" borderId="30" xfId="0" applyFont="1" applyBorder="1" applyAlignment="1">
      <alignment horizontal="left" vertical="center" wrapText="1"/>
    </xf>
    <xf numFmtId="0" fontId="15" fillId="0" borderId="41" xfId="0" applyFont="1" applyBorder="1" applyAlignment="1">
      <alignment horizontal="left" vertical="center" wrapText="1"/>
    </xf>
    <xf numFmtId="0" fontId="15" fillId="0" borderId="29" xfId="0" applyFont="1" applyBorder="1" applyAlignment="1">
      <alignment horizontal="left" vertical="center" wrapText="1"/>
    </xf>
    <xf numFmtId="0" fontId="15" fillId="0" borderId="0" xfId="0" applyFont="1" applyFill="1" applyAlignment="1">
      <alignment horizontal="left" vertical="center"/>
    </xf>
    <xf numFmtId="0" fontId="67" fillId="0" borderId="0" xfId="0" applyFont="1"/>
    <xf numFmtId="0" fontId="20" fillId="0" borderId="15" xfId="0" applyFont="1" applyBorder="1" applyAlignment="1">
      <alignment horizontal="right" vertical="center"/>
    </xf>
    <xf numFmtId="10" fontId="15" fillId="10" borderId="36" xfId="2" applyNumberFormat="1" applyFont="1" applyFill="1" applyBorder="1" applyAlignment="1">
      <alignment vertical="center"/>
    </xf>
    <xf numFmtId="49" fontId="34" fillId="0" borderId="25" xfId="0" applyNumberFormat="1" applyFont="1" applyBorder="1" applyAlignment="1">
      <alignment horizontal="right" vertical="center"/>
    </xf>
    <xf numFmtId="0" fontId="15" fillId="0" borderId="25" xfId="0" applyFont="1" applyBorder="1" applyAlignment="1">
      <alignment horizontal="center" vertical="center"/>
    </xf>
    <xf numFmtId="10" fontId="15" fillId="0" borderId="36" xfId="2" applyNumberFormat="1" applyFont="1" applyBorder="1" applyAlignment="1">
      <alignment horizontal="center" vertical="center"/>
    </xf>
    <xf numFmtId="173" fontId="15" fillId="0" borderId="0" xfId="2" applyNumberFormat="1" applyFont="1"/>
    <xf numFmtId="0" fontId="15" fillId="0" borderId="0" xfId="0" applyFont="1" applyAlignment="1">
      <alignment horizontal="left" vertical="center"/>
    </xf>
    <xf numFmtId="176" fontId="15" fillId="0" borderId="16" xfId="0" applyNumberFormat="1" applyFont="1" applyBorder="1" applyAlignment="1">
      <alignment horizontal="center"/>
    </xf>
    <xf numFmtId="0" fontId="15" fillId="0" borderId="0" xfId="0" applyFont="1" applyAlignment="1"/>
    <xf numFmtId="0" fontId="15" fillId="9" borderId="2" xfId="0" applyFont="1" applyFill="1" applyBorder="1" applyAlignment="1"/>
    <xf numFmtId="0" fontId="15" fillId="9" borderId="3" xfId="0" applyFont="1" applyFill="1" applyBorder="1" applyAlignment="1">
      <alignment horizontal="right"/>
    </xf>
    <xf numFmtId="0" fontId="15" fillId="9" borderId="15" xfId="0" applyFont="1" applyFill="1" applyBorder="1" applyAlignment="1"/>
    <xf numFmtId="0" fontId="15" fillId="9" borderId="36" xfId="0" applyFont="1" applyFill="1" applyBorder="1" applyAlignment="1">
      <alignment horizontal="right"/>
    </xf>
    <xf numFmtId="0" fontId="20" fillId="0" borderId="25" xfId="0" applyFont="1" applyBorder="1" applyAlignment="1">
      <alignment horizontal="center"/>
    </xf>
    <xf numFmtId="0" fontId="15" fillId="0" borderId="17" xfId="0" applyFont="1" applyBorder="1" applyAlignment="1"/>
    <xf numFmtId="0" fontId="15" fillId="5" borderId="24" xfId="0" applyFont="1" applyFill="1" applyBorder="1" applyAlignment="1"/>
    <xf numFmtId="0" fontId="15" fillId="6" borderId="11" xfId="0" applyFont="1" applyFill="1" applyBorder="1" applyAlignment="1"/>
    <xf numFmtId="0" fontId="15" fillId="7" borderId="11" xfId="0" applyFont="1" applyFill="1" applyBorder="1" applyAlignment="1"/>
    <xf numFmtId="49" fontId="15" fillId="0" borderId="0" xfId="0" applyNumberFormat="1" applyFont="1" applyFill="1" applyBorder="1" applyAlignment="1"/>
    <xf numFmtId="0" fontId="15" fillId="5" borderId="37" xfId="0" applyFont="1" applyFill="1" applyBorder="1" applyAlignment="1"/>
    <xf numFmtId="0" fontId="15" fillId="3" borderId="0" xfId="0" applyFont="1" applyFill="1" applyBorder="1" applyAlignment="1"/>
    <xf numFmtId="0" fontId="15" fillId="7" borderId="24" xfId="0" applyFont="1" applyFill="1" applyBorder="1" applyAlignment="1"/>
    <xf numFmtId="43" fontId="18" fillId="7" borderId="24" xfId="1" applyFont="1" applyFill="1" applyBorder="1" applyAlignment="1"/>
    <xf numFmtId="0" fontId="15" fillId="0" borderId="0" xfId="0" applyFont="1" applyFill="1" applyBorder="1" applyAlignment="1"/>
    <xf numFmtId="43" fontId="18" fillId="0" borderId="0" xfId="1" applyFont="1" applyFill="1" applyBorder="1" applyAlignment="1"/>
    <xf numFmtId="0" fontId="15" fillId="9" borderId="23" xfId="0" applyFont="1" applyFill="1" applyBorder="1" applyAlignment="1"/>
    <xf numFmtId="0" fontId="15" fillId="9" borderId="21" xfId="0" applyFont="1" applyFill="1" applyBorder="1" applyAlignment="1"/>
    <xf numFmtId="0" fontId="15" fillId="9" borderId="20" xfId="0" applyFont="1" applyFill="1" applyBorder="1" applyAlignment="1"/>
    <xf numFmtId="10" fontId="15" fillId="9" borderId="0" xfId="0" applyNumberFormat="1" applyFont="1" applyFill="1" applyBorder="1" applyAlignment="1"/>
    <xf numFmtId="0" fontId="15" fillId="9" borderId="0" xfId="0" applyFont="1" applyFill="1" applyBorder="1" applyAlignment="1"/>
    <xf numFmtId="0" fontId="15" fillId="9" borderId="18" xfId="0" applyFont="1" applyFill="1" applyBorder="1" applyAlignment="1"/>
    <xf numFmtId="10" fontId="15" fillId="0" borderId="0" xfId="0" applyNumberFormat="1" applyFont="1" applyAlignment="1"/>
    <xf numFmtId="0" fontId="20" fillId="9" borderId="11" xfId="0" applyFont="1" applyFill="1" applyBorder="1" applyAlignment="1">
      <alignment horizontal="center" vertical="center"/>
    </xf>
    <xf numFmtId="166" fontId="15" fillId="0" borderId="0" xfId="1" applyNumberFormat="1" applyFont="1" applyFill="1"/>
    <xf numFmtId="0" fontId="15" fillId="0" borderId="0" xfId="0" applyFont="1" applyAlignment="1">
      <alignment horizontal="center" vertical="center"/>
    </xf>
    <xf numFmtId="0" fontId="66" fillId="0" borderId="11" xfId="0" applyFont="1" applyBorder="1" applyAlignment="1">
      <alignment horizontal="center" vertical="distributed"/>
    </xf>
    <xf numFmtId="0" fontId="20" fillId="0" borderId="11" xfId="0" applyFont="1" applyFill="1" applyBorder="1" applyAlignment="1">
      <alignment horizontal="center" vertical="center" wrapText="1"/>
    </xf>
    <xf numFmtId="2" fontId="15" fillId="0" borderId="11" xfId="1" applyNumberFormat="1" applyFont="1" applyBorder="1" applyAlignment="1">
      <alignment horizontal="center" vertical="center" wrapText="1"/>
    </xf>
    <xf numFmtId="2" fontId="15" fillId="0" borderId="11" xfId="1" applyNumberFormat="1" applyFont="1" applyFill="1" applyBorder="1" applyAlignment="1">
      <alignment horizontal="center" vertical="center" wrapText="1"/>
    </xf>
    <xf numFmtId="2" fontId="15" fillId="0" borderId="13" xfId="1" applyNumberFormat="1" applyFont="1" applyFill="1" applyBorder="1" applyAlignment="1">
      <alignment horizontal="center" vertical="center" wrapText="1"/>
    </xf>
    <xf numFmtId="2" fontId="20" fillId="2" borderId="11" xfId="0" applyNumberFormat="1" applyFont="1" applyFill="1" applyBorder="1" applyAlignment="1">
      <alignment horizontal="center" vertical="center" wrapText="1"/>
    </xf>
    <xf numFmtId="2" fontId="20" fillId="3" borderId="11" xfId="0" applyNumberFormat="1" applyFont="1" applyFill="1" applyBorder="1" applyAlignment="1">
      <alignment horizontal="center" vertical="center" wrapText="1"/>
    </xf>
    <xf numFmtId="2" fontId="20" fillId="4" borderId="11" xfId="0" applyNumberFormat="1" applyFont="1" applyFill="1" applyBorder="1" applyAlignment="1">
      <alignment horizontal="center" vertical="center" wrapText="1"/>
    </xf>
    <xf numFmtId="2" fontId="15" fillId="0" borderId="30" xfId="0" applyNumberFormat="1" applyFont="1" applyBorder="1"/>
    <xf numFmtId="10" fontId="50" fillId="11" borderId="24" xfId="2" applyNumberFormat="1" applyFont="1" applyFill="1" applyBorder="1" applyAlignment="1">
      <alignment horizontal="center" vertical="center"/>
    </xf>
    <xf numFmtId="10" fontId="15" fillId="0" borderId="24" xfId="2" applyNumberFormat="1" applyFont="1" applyBorder="1" applyAlignment="1">
      <alignment horizontal="center" vertical="center"/>
    </xf>
    <xf numFmtId="0" fontId="20" fillId="0" borderId="55" xfId="0" applyFont="1" applyBorder="1" applyAlignment="1">
      <alignment horizontal="center" vertical="distributed"/>
    </xf>
    <xf numFmtId="0" fontId="20" fillId="0" borderId="56" xfId="0" applyFont="1" applyBorder="1" applyAlignment="1">
      <alignment horizontal="center" vertical="distributed"/>
    </xf>
    <xf numFmtId="0" fontId="15" fillId="0" borderId="33" xfId="0" applyFont="1" applyBorder="1" applyAlignment="1">
      <alignment horizontal="left" vertical="center" wrapText="1"/>
    </xf>
    <xf numFmtId="165" fontId="15" fillId="0" borderId="34" xfId="0" applyNumberFormat="1" applyFont="1" applyBorder="1" applyAlignment="1">
      <alignment vertical="distributed"/>
    </xf>
    <xf numFmtId="165" fontId="15" fillId="0" borderId="27" xfId="0" applyNumberFormat="1" applyFont="1" applyBorder="1" applyAlignment="1">
      <alignment vertical="distributed"/>
    </xf>
    <xf numFmtId="10" fontId="15" fillId="0" borderId="28" xfId="2" applyNumberFormat="1" applyFont="1" applyBorder="1" applyAlignment="1">
      <alignment horizontal="center" vertical="center"/>
    </xf>
    <xf numFmtId="165" fontId="15" fillId="0" borderId="35" xfId="0" applyNumberFormat="1" applyFont="1" applyBorder="1" applyAlignment="1">
      <alignment vertical="distributed"/>
    </xf>
    <xf numFmtId="43" fontId="15" fillId="0" borderId="0" xfId="1" applyFont="1"/>
    <xf numFmtId="0" fontId="58" fillId="0" borderId="0" xfId="0" applyFont="1" applyBorder="1"/>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36" xfId="0" applyFont="1" applyBorder="1" applyAlignment="1">
      <alignment horizontal="center" vertical="center"/>
    </xf>
    <xf numFmtId="0" fontId="58" fillId="0" borderId="0" xfId="0" applyFont="1" applyFill="1" applyBorder="1" applyAlignment="1">
      <alignment horizontal="center"/>
    </xf>
    <xf numFmtId="0" fontId="58" fillId="0" borderId="59" xfId="0" applyFont="1" applyBorder="1" applyAlignment="1">
      <alignment horizontal="right" vertical="center"/>
    </xf>
    <xf numFmtId="0" fontId="16" fillId="0" borderId="0" xfId="0" applyFont="1" applyFill="1" applyBorder="1" applyAlignment="1">
      <alignment horizontal="center" vertical="center"/>
    </xf>
    <xf numFmtId="2" fontId="15" fillId="0" borderId="0" xfId="0" applyNumberFormat="1" applyFont="1" applyFill="1" applyBorder="1" applyAlignment="1">
      <alignment horizontal="center" vertical="center"/>
    </xf>
    <xf numFmtId="0" fontId="58" fillId="0" borderId="53" xfId="0" applyFont="1" applyBorder="1" applyAlignment="1">
      <alignment horizontal="right" vertical="center"/>
    </xf>
    <xf numFmtId="2" fontId="20" fillId="0" borderId="0" xfId="0" applyNumberFormat="1" applyFont="1" applyFill="1" applyBorder="1" applyAlignment="1">
      <alignment horizontal="center" vertical="center"/>
    </xf>
    <xf numFmtId="2" fontId="16" fillId="0" borderId="0" xfId="0" applyNumberFormat="1" applyFont="1" applyFill="1" applyBorder="1" applyAlignment="1">
      <alignment horizontal="center" vertical="center"/>
    </xf>
    <xf numFmtId="0" fontId="59" fillId="0" borderId="16" xfId="0" applyFont="1" applyFill="1" applyBorder="1" applyAlignment="1">
      <alignment horizontal="right" vertical="center"/>
    </xf>
    <xf numFmtId="0" fontId="75" fillId="0" borderId="0" xfId="0" applyFont="1" applyFill="1" applyBorder="1" applyAlignment="1">
      <alignment horizontal="right"/>
    </xf>
    <xf numFmtId="2" fontId="75" fillId="0" borderId="0" xfId="0" applyNumberFormat="1" applyFont="1" applyFill="1" applyBorder="1" applyAlignment="1">
      <alignment horizontal="center"/>
    </xf>
    <xf numFmtId="0" fontId="76" fillId="0" borderId="0" xfId="0" applyFont="1" applyFill="1" applyBorder="1"/>
    <xf numFmtId="2" fontId="16" fillId="0" borderId="0" xfId="0" applyNumberFormat="1" applyFont="1" applyBorder="1" applyAlignment="1">
      <alignment horizontal="center"/>
    </xf>
    <xf numFmtId="180" fontId="16"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0" fontId="60" fillId="0" borderId="0" xfId="0" applyFont="1" applyFill="1"/>
    <xf numFmtId="0" fontId="77" fillId="0" borderId="0" xfId="0" applyFont="1" applyFill="1"/>
    <xf numFmtId="0" fontId="78" fillId="0" borderId="0" xfId="0" applyFont="1"/>
    <xf numFmtId="0" fontId="59" fillId="0" borderId="0" xfId="0" applyFont="1" applyFill="1" applyAlignment="1">
      <alignment horizontal="center"/>
    </xf>
    <xf numFmtId="0" fontId="58" fillId="0" borderId="11" xfId="0" applyFont="1" applyFill="1" applyBorder="1"/>
    <xf numFmtId="0" fontId="59" fillId="0" borderId="11" xfId="0" applyFont="1" applyFill="1" applyBorder="1" applyAlignment="1">
      <alignment horizontal="right"/>
    </xf>
    <xf numFmtId="165" fontId="59" fillId="0" borderId="13" xfId="1" applyNumberFormat="1" applyFont="1" applyFill="1" applyBorder="1"/>
    <xf numFmtId="0" fontId="58" fillId="14" borderId="13" xfId="0" applyFont="1" applyFill="1" applyBorder="1"/>
    <xf numFmtId="0" fontId="76" fillId="14" borderId="17" xfId="0" applyFont="1" applyFill="1" applyBorder="1" applyAlignment="1">
      <alignment horizontal="right"/>
    </xf>
    <xf numFmtId="176" fontId="20" fillId="14" borderId="11" xfId="0" applyNumberFormat="1" applyFont="1" applyFill="1" applyBorder="1" applyAlignment="1">
      <alignment horizontal="center"/>
    </xf>
    <xf numFmtId="0" fontId="15" fillId="0" borderId="0" xfId="0" applyFont="1" applyFill="1" applyAlignment="1">
      <alignment horizontal="left"/>
    </xf>
    <xf numFmtId="170" fontId="15" fillId="0" borderId="0" xfId="0" applyNumberFormat="1" applyFont="1" applyFill="1"/>
    <xf numFmtId="180" fontId="15" fillId="0" borderId="16" xfId="0" applyNumberFormat="1" applyFont="1" applyFill="1" applyBorder="1" applyAlignment="1">
      <alignment horizontal="center"/>
    </xf>
    <xf numFmtId="0" fontId="58" fillId="0" borderId="15" xfId="0" applyFont="1" applyBorder="1"/>
    <xf numFmtId="0" fontId="59" fillId="0" borderId="15" xfId="0" applyFont="1" applyFill="1" applyBorder="1" applyAlignment="1">
      <alignment horizontal="right"/>
    </xf>
    <xf numFmtId="0" fontId="58" fillId="0" borderId="25" xfId="0" applyFont="1" applyFill="1" applyBorder="1" applyAlignment="1">
      <alignment horizontal="center"/>
    </xf>
    <xf numFmtId="43" fontId="59" fillId="0" borderId="36" xfId="1" applyFont="1" applyFill="1" applyBorder="1"/>
    <xf numFmtId="0" fontId="15" fillId="0" borderId="15" xfId="0" applyFont="1" applyBorder="1"/>
    <xf numFmtId="0" fontId="16" fillId="0" borderId="15" xfId="0" applyFont="1" applyFill="1" applyBorder="1" applyAlignment="1">
      <alignment horizontal="right"/>
    </xf>
    <xf numFmtId="0" fontId="20" fillId="0" borderId="36" xfId="0" applyFont="1" applyFill="1" applyBorder="1" applyAlignment="1">
      <alignment horizontal="center"/>
    </xf>
    <xf numFmtId="0" fontId="59" fillId="0" borderId="0" xfId="0" applyFont="1" applyFill="1"/>
    <xf numFmtId="0" fontId="59" fillId="0" borderId="15" xfId="0" applyFont="1" applyFill="1" applyBorder="1"/>
    <xf numFmtId="0" fontId="59" fillId="0" borderId="25" xfId="0" applyFont="1" applyFill="1" applyBorder="1"/>
    <xf numFmtId="0" fontId="59" fillId="0" borderId="36" xfId="0" applyFont="1" applyFill="1" applyBorder="1" applyAlignment="1">
      <alignment horizontal="right"/>
    </xf>
    <xf numFmtId="181" fontId="77" fillId="0" borderId="16" xfId="0" applyNumberFormat="1" applyFont="1" applyFill="1" applyBorder="1" applyAlignment="1">
      <alignment horizontal="center"/>
    </xf>
    <xf numFmtId="0" fontId="58" fillId="14" borderId="15" xfId="0" applyFont="1" applyFill="1" applyBorder="1"/>
    <xf numFmtId="0" fontId="75" fillId="14" borderId="25" xfId="0" applyFont="1" applyFill="1" applyBorder="1" applyAlignment="1">
      <alignment horizontal="right" vertical="center"/>
    </xf>
    <xf numFmtId="2" fontId="20" fillId="14" borderId="16" xfId="0" applyNumberFormat="1" applyFont="1" applyFill="1" applyBorder="1" applyAlignment="1">
      <alignment horizontal="center" vertical="center"/>
    </xf>
    <xf numFmtId="0" fontId="15" fillId="15" borderId="11" xfId="0" applyFont="1" applyFill="1" applyBorder="1"/>
    <xf numFmtId="2" fontId="58" fillId="0" borderId="0" xfId="0" applyNumberFormat="1" applyFont="1" applyFill="1" applyBorder="1" applyAlignment="1">
      <alignment horizontal="center"/>
    </xf>
    <xf numFmtId="182" fontId="59" fillId="2" borderId="25" xfId="0" applyNumberFormat="1" applyFont="1" applyFill="1" applyBorder="1"/>
    <xf numFmtId="0" fontId="59" fillId="0" borderId="25" xfId="0" applyFont="1" applyFill="1" applyBorder="1" applyAlignment="1">
      <alignment horizontal="center"/>
    </xf>
    <xf numFmtId="182" fontId="59" fillId="3" borderId="31" xfId="0" applyNumberFormat="1" applyFont="1" applyFill="1" applyBorder="1"/>
    <xf numFmtId="0" fontId="20" fillId="0" borderId="25" xfId="0" applyFont="1" applyFill="1" applyBorder="1" applyAlignment="1">
      <alignment horizontal="center"/>
    </xf>
    <xf numFmtId="182" fontId="20" fillId="4" borderId="36" xfId="0" applyNumberFormat="1" applyFont="1" applyFill="1" applyBorder="1"/>
    <xf numFmtId="49" fontId="15" fillId="0" borderId="0" xfId="0" applyNumberFormat="1" applyFont="1" applyFill="1"/>
    <xf numFmtId="182" fontId="15" fillId="0" borderId="5" xfId="0" applyNumberFormat="1" applyFont="1" applyFill="1" applyBorder="1"/>
    <xf numFmtId="43" fontId="59" fillId="0" borderId="0" xfId="0" applyNumberFormat="1" applyFont="1" applyFill="1" applyBorder="1"/>
    <xf numFmtId="0" fontId="59" fillId="0" borderId="0" xfId="0" applyFont="1" applyFill="1" applyBorder="1" applyAlignment="1">
      <alignment horizontal="center"/>
    </xf>
    <xf numFmtId="171" fontId="20" fillId="0" borderId="5" xfId="0" applyNumberFormat="1" applyFont="1" applyFill="1" applyBorder="1" applyAlignment="1">
      <alignment horizontal="right"/>
    </xf>
    <xf numFmtId="0" fontId="75" fillId="0" borderId="15" xfId="0" applyFont="1" applyFill="1" applyBorder="1"/>
    <xf numFmtId="0" fontId="58" fillId="0" borderId="15" xfId="0" applyFont="1" applyFill="1" applyBorder="1"/>
    <xf numFmtId="43" fontId="59" fillId="0" borderId="25" xfId="0" applyNumberFormat="1" applyFont="1" applyFill="1" applyBorder="1"/>
    <xf numFmtId="182" fontId="59" fillId="0" borderId="16" xfId="0" applyNumberFormat="1" applyFont="1" applyFill="1" applyBorder="1"/>
    <xf numFmtId="43" fontId="68" fillId="0" borderId="25" xfId="0" applyNumberFormat="1" applyFont="1" applyFill="1" applyBorder="1" applyAlignment="1">
      <alignment horizontal="center"/>
    </xf>
    <xf numFmtId="166" fontId="20" fillId="12" borderId="16" xfId="1" applyNumberFormat="1" applyFont="1" applyFill="1" applyBorder="1"/>
    <xf numFmtId="0" fontId="15" fillId="0" borderId="36" xfId="0" applyFont="1" applyFill="1" applyBorder="1"/>
    <xf numFmtId="43" fontId="15" fillId="0" borderId="5" xfId="0" applyNumberFormat="1" applyFont="1" applyBorder="1"/>
    <xf numFmtId="43" fontId="58" fillId="0" borderId="0" xfId="0" applyNumberFormat="1" applyFont="1" applyFill="1" applyBorder="1"/>
    <xf numFmtId="10" fontId="20" fillId="2" borderId="5" xfId="2" applyNumberFormat="1" applyFont="1" applyFill="1" applyBorder="1"/>
    <xf numFmtId="2" fontId="58" fillId="0" borderId="0" xfId="0" applyNumberFormat="1" applyFont="1"/>
    <xf numFmtId="0" fontId="38" fillId="0" borderId="0" xfId="0" applyFont="1" applyFill="1"/>
    <xf numFmtId="43" fontId="29" fillId="0" borderId="8" xfId="1" applyFont="1" applyBorder="1"/>
    <xf numFmtId="0" fontId="59" fillId="0" borderId="7" xfId="0" applyFont="1" applyBorder="1"/>
    <xf numFmtId="0" fontId="58" fillId="0" borderId="57" xfId="0" applyFont="1" applyBorder="1" applyAlignment="1">
      <alignment horizontal="center"/>
    </xf>
    <xf numFmtId="0" fontId="58" fillId="0" borderId="15" xfId="0" applyFont="1" applyBorder="1" applyAlignment="1">
      <alignment horizontal="center"/>
    </xf>
    <xf numFmtId="0" fontId="58" fillId="0" borderId="16" xfId="0" applyFont="1" applyBorder="1" applyAlignment="1">
      <alignment horizontal="center"/>
    </xf>
    <xf numFmtId="0" fontId="80" fillId="0" borderId="11" xfId="0" applyFont="1" applyFill="1" applyBorder="1" applyAlignment="1">
      <alignment horizontal="center" vertical="center" wrapText="1"/>
    </xf>
    <xf numFmtId="0" fontId="72" fillId="0" borderId="11" xfId="0" applyFont="1" applyBorder="1" applyAlignment="1">
      <alignment horizontal="center" vertical="center" wrapText="1"/>
    </xf>
    <xf numFmtId="0" fontId="72" fillId="0" borderId="11" xfId="0" applyFont="1" applyBorder="1" applyAlignment="1">
      <alignment horizontal="center" vertical="center"/>
    </xf>
    <xf numFmtId="0" fontId="59" fillId="0" borderId="36" xfId="0" applyFont="1" applyBorder="1" applyAlignment="1">
      <alignment horizontal="right"/>
    </xf>
    <xf numFmtId="2" fontId="58" fillId="10" borderId="25" xfId="0" applyNumberFormat="1" applyFont="1" applyFill="1" applyBorder="1" applyAlignment="1">
      <alignment horizontal="center"/>
    </xf>
    <xf numFmtId="2" fontId="58" fillId="10" borderId="16" xfId="0" applyNumberFormat="1" applyFont="1" applyFill="1" applyBorder="1" applyAlignment="1">
      <alignment horizontal="center"/>
    </xf>
    <xf numFmtId="0" fontId="58" fillId="10" borderId="16" xfId="0" applyFont="1" applyFill="1" applyBorder="1" applyAlignment="1">
      <alignment horizontal="center"/>
    </xf>
    <xf numFmtId="9" fontId="15" fillId="11" borderId="11" xfId="2" applyFont="1" applyFill="1" applyBorder="1" applyAlignment="1">
      <alignment horizontal="center" vertical="center"/>
    </xf>
    <xf numFmtId="2" fontId="15" fillId="0" borderId="11" xfId="0" applyNumberFormat="1" applyFont="1" applyBorder="1" applyAlignment="1">
      <alignment horizontal="center"/>
    </xf>
    <xf numFmtId="1" fontId="0" fillId="0" borderId="11" xfId="0" applyNumberFormat="1" applyBorder="1" applyAlignment="1">
      <alignment horizontal="center"/>
    </xf>
    <xf numFmtId="2" fontId="15" fillId="13" borderId="11" xfId="0" applyNumberFormat="1" applyFont="1" applyFill="1" applyBorder="1" applyAlignment="1">
      <alignment horizontal="center"/>
    </xf>
    <xf numFmtId="2" fontId="0" fillId="0" borderId="11" xfId="0" applyNumberFormat="1" applyBorder="1" applyAlignment="1">
      <alignment horizontal="center"/>
    </xf>
    <xf numFmtId="2" fontId="0" fillId="0" borderId="11" xfId="0" applyNumberFormat="1" applyBorder="1" applyAlignment="1">
      <alignment horizontal="center" vertical="center"/>
    </xf>
    <xf numFmtId="43" fontId="38" fillId="0" borderId="0" xfId="0" applyNumberFormat="1" applyFont="1"/>
    <xf numFmtId="43" fontId="38" fillId="0" borderId="0" xfId="1" applyFont="1"/>
    <xf numFmtId="0" fontId="59" fillId="0" borderId="0" xfId="0" applyFont="1" applyBorder="1"/>
    <xf numFmtId="0" fontId="58" fillId="0" borderId="0" xfId="0" applyFont="1" applyBorder="1" applyAlignment="1">
      <alignment horizontal="center"/>
    </xf>
    <xf numFmtId="0" fontId="15" fillId="0" borderId="4" xfId="0" applyFont="1" applyFill="1" applyBorder="1"/>
    <xf numFmtId="0" fontId="59" fillId="0" borderId="0" xfId="0" applyFont="1" applyAlignment="1">
      <alignment horizontal="center"/>
    </xf>
    <xf numFmtId="0" fontId="58" fillId="0" borderId="11" xfId="0" applyFont="1" applyBorder="1"/>
    <xf numFmtId="0" fontId="59" fillId="0" borderId="11" xfId="0" applyFont="1" applyBorder="1" applyAlignment="1">
      <alignment horizontal="right"/>
    </xf>
    <xf numFmtId="43" fontId="59" fillId="0" borderId="11" xfId="1" applyNumberFormat="1" applyFont="1" applyBorder="1"/>
    <xf numFmtId="0" fontId="58" fillId="14" borderId="11" xfId="0" applyFont="1" applyFill="1" applyBorder="1"/>
    <xf numFmtId="0" fontId="76" fillId="14" borderId="11" xfId="0" applyFont="1" applyFill="1" applyBorder="1" applyAlignment="1">
      <alignment horizontal="right"/>
    </xf>
    <xf numFmtId="165" fontId="20" fillId="14" borderId="22" xfId="1" applyNumberFormat="1" applyFont="1" applyFill="1" applyBorder="1"/>
    <xf numFmtId="0" fontId="15" fillId="0" borderId="5" xfId="0" applyFont="1" applyFill="1" applyBorder="1" applyAlignment="1">
      <alignment horizontal="right"/>
    </xf>
    <xf numFmtId="2" fontId="15" fillId="0" borderId="0" xfId="0" applyNumberFormat="1" applyFont="1" applyFill="1" applyBorder="1" applyAlignment="1">
      <alignment horizontal="left"/>
    </xf>
    <xf numFmtId="167" fontId="15" fillId="0" borderId="8" xfId="2" applyNumberFormat="1" applyFont="1" applyBorder="1"/>
    <xf numFmtId="0" fontId="20" fillId="0" borderId="1" xfId="0" applyFont="1" applyFill="1" applyBorder="1" applyAlignment="1">
      <alignment horizontal="left"/>
    </xf>
    <xf numFmtId="164" fontId="58" fillId="0" borderId="0" xfId="1" applyNumberFormat="1" applyFont="1" applyFill="1"/>
    <xf numFmtId="183" fontId="15" fillId="0" borderId="0" xfId="0" applyNumberFormat="1" applyFont="1" applyFill="1"/>
    <xf numFmtId="184" fontId="15" fillId="0" borderId="0" xfId="0" applyNumberFormat="1" applyFont="1" applyFill="1" applyAlignment="1">
      <alignment horizontal="center"/>
    </xf>
    <xf numFmtId="185" fontId="58" fillId="0" borderId="0" xfId="0" applyNumberFormat="1" applyFont="1" applyFill="1" applyAlignment="1">
      <alignment horizontal="center"/>
    </xf>
    <xf numFmtId="186" fontId="15" fillId="0" borderId="0" xfId="0" applyNumberFormat="1" applyFont="1" applyFill="1" applyAlignment="1">
      <alignment horizontal="center"/>
    </xf>
    <xf numFmtId="0" fontId="59" fillId="0" borderId="13" xfId="0" applyFont="1" applyBorder="1"/>
    <xf numFmtId="0" fontId="59" fillId="0" borderId="22" xfId="0" applyFont="1" applyBorder="1" applyAlignment="1">
      <alignment horizontal="right"/>
    </xf>
    <xf numFmtId="2" fontId="59" fillId="2" borderId="21" xfId="0" applyNumberFormat="1" applyFont="1" applyFill="1" applyBorder="1"/>
    <xf numFmtId="0" fontId="58" fillId="0" borderId="21" xfId="0" applyFont="1" applyBorder="1"/>
    <xf numFmtId="0" fontId="15" fillId="0" borderId="21" xfId="0" applyFont="1" applyBorder="1"/>
    <xf numFmtId="0" fontId="59" fillId="14" borderId="24" xfId="0" applyFont="1" applyFill="1" applyBorder="1" applyAlignment="1">
      <alignment horizontal="right" vertical="center"/>
    </xf>
    <xf numFmtId="0" fontId="58" fillId="14" borderId="11" xfId="0" applyFont="1" applyFill="1" applyBorder="1" applyAlignment="1">
      <alignment horizontal="right"/>
    </xf>
    <xf numFmtId="176" fontId="59" fillId="14" borderId="13" xfId="0" applyNumberFormat="1" applyFont="1" applyFill="1" applyBorder="1" applyAlignment="1">
      <alignment horizontal="center"/>
    </xf>
    <xf numFmtId="2" fontId="20" fillId="0" borderId="11" xfId="0" applyNumberFormat="1" applyFont="1" applyFill="1" applyBorder="1" applyAlignment="1">
      <alignment horizontal="right"/>
    </xf>
    <xf numFmtId="0" fontId="15" fillId="0" borderId="22" xfId="0" applyFont="1" applyBorder="1" applyAlignment="1">
      <alignment horizontal="right"/>
    </xf>
    <xf numFmtId="176" fontId="20" fillId="0" borderId="11" xfId="0" applyNumberFormat="1" applyFont="1" applyFill="1" applyBorder="1" applyAlignment="1">
      <alignment horizontal="center"/>
    </xf>
    <xf numFmtId="0" fontId="15" fillId="0" borderId="11" xfId="0" applyFont="1" applyFill="1" applyBorder="1"/>
    <xf numFmtId="0" fontId="58" fillId="0" borderId="0" xfId="0" applyFont="1" applyAlignment="1">
      <alignment horizontal="right"/>
    </xf>
    <xf numFmtId="2" fontId="59" fillId="2" borderId="25" xfId="0" applyNumberFormat="1" applyFont="1" applyFill="1" applyBorder="1"/>
    <xf numFmtId="2" fontId="59" fillId="0" borderId="25" xfId="0" applyNumberFormat="1" applyFont="1" applyBorder="1" applyAlignment="1">
      <alignment horizontal="center"/>
    </xf>
    <xf numFmtId="2" fontId="59" fillId="3" borderId="25" xfId="0" applyNumberFormat="1" applyFont="1" applyFill="1" applyBorder="1"/>
    <xf numFmtId="2" fontId="20" fillId="0" borderId="25" xfId="0" applyNumberFormat="1" applyFont="1" applyBorder="1" applyAlignment="1">
      <alignment horizontal="center"/>
    </xf>
    <xf numFmtId="2" fontId="59" fillId="4" borderId="36" xfId="0" applyNumberFormat="1" applyFont="1" applyFill="1" applyBorder="1"/>
    <xf numFmtId="0" fontId="58" fillId="0" borderId="0" xfId="0" applyFont="1" applyFill="1" applyBorder="1"/>
    <xf numFmtId="0" fontId="58" fillId="0" borderId="23" xfId="0" applyFont="1" applyFill="1" applyBorder="1"/>
    <xf numFmtId="0" fontId="58" fillId="0" borderId="21" xfId="0" applyFont="1" applyFill="1" applyBorder="1"/>
    <xf numFmtId="0" fontId="58" fillId="9" borderId="21" xfId="0" applyFont="1" applyFill="1" applyBorder="1" applyAlignment="1">
      <alignment horizontal="center"/>
    </xf>
    <xf numFmtId="166" fontId="58" fillId="9" borderId="21" xfId="1" applyNumberFormat="1" applyFont="1" applyFill="1" applyBorder="1" applyAlignment="1">
      <alignment horizontal="center"/>
    </xf>
    <xf numFmtId="0" fontId="15" fillId="0" borderId="21" xfId="0" applyFont="1" applyFill="1" applyBorder="1"/>
    <xf numFmtId="0" fontId="15" fillId="0" borderId="38" xfId="0" applyFont="1" applyFill="1" applyBorder="1"/>
    <xf numFmtId="0" fontId="58" fillId="0" borderId="20" xfId="0" applyFont="1" applyFill="1" applyBorder="1"/>
    <xf numFmtId="0" fontId="15" fillId="0" borderId="39" xfId="0" applyFont="1" applyFill="1" applyBorder="1"/>
    <xf numFmtId="0" fontId="60" fillId="0" borderId="0" xfId="0" applyFont="1" applyFill="1" applyBorder="1"/>
    <xf numFmtId="0" fontId="58" fillId="9" borderId="20" xfId="0" applyFont="1" applyFill="1" applyBorder="1"/>
    <xf numFmtId="2" fontId="58" fillId="9" borderId="0" xfId="0" applyNumberFormat="1" applyFont="1" applyFill="1" applyBorder="1" applyAlignment="1">
      <alignment horizontal="center"/>
    </xf>
    <xf numFmtId="167" fontId="15" fillId="9" borderId="0" xfId="2" applyNumberFormat="1" applyFont="1" applyFill="1" applyBorder="1" applyAlignment="1">
      <alignment horizontal="center"/>
    </xf>
    <xf numFmtId="0" fontId="15" fillId="9" borderId="0" xfId="0" applyFont="1" applyFill="1" applyBorder="1"/>
    <xf numFmtId="0" fontId="15" fillId="9" borderId="39" xfId="0" applyFont="1" applyFill="1" applyBorder="1"/>
    <xf numFmtId="0" fontId="58" fillId="0" borderId="0" xfId="0" applyFont="1" applyFill="1" applyBorder="1" applyAlignment="1">
      <alignment horizontal="left"/>
    </xf>
    <xf numFmtId="43" fontId="58" fillId="9" borderId="0" xfId="2" applyNumberFormat="1" applyFont="1" applyFill="1" applyBorder="1" applyAlignment="1">
      <alignment horizontal="center"/>
    </xf>
    <xf numFmtId="0" fontId="58" fillId="9" borderId="0" xfId="0" applyFont="1" applyFill="1" applyBorder="1" applyAlignment="1">
      <alignment horizontal="center"/>
    </xf>
    <xf numFmtId="10" fontId="58" fillId="9" borderId="0" xfId="2" applyNumberFormat="1" applyFont="1" applyFill="1" applyBorder="1" applyAlignment="1">
      <alignment horizontal="center"/>
    </xf>
    <xf numFmtId="0" fontId="15" fillId="9" borderId="0" xfId="0" applyFont="1" applyFill="1" applyBorder="1" applyAlignment="1">
      <alignment horizontal="center"/>
    </xf>
    <xf numFmtId="0" fontId="15" fillId="9" borderId="39" xfId="0" applyFont="1" applyFill="1" applyBorder="1" applyAlignment="1">
      <alignment horizontal="center"/>
    </xf>
    <xf numFmtId="0" fontId="58" fillId="9" borderId="18" xfId="0" applyFont="1" applyFill="1" applyBorder="1"/>
    <xf numFmtId="2" fontId="58" fillId="9" borderId="19" xfId="0" applyNumberFormat="1" applyFont="1" applyFill="1" applyBorder="1" applyAlignment="1">
      <alignment horizontal="center"/>
    </xf>
    <xf numFmtId="0" fontId="58" fillId="9" borderId="19" xfId="0" applyFont="1" applyFill="1" applyBorder="1" applyAlignment="1">
      <alignment horizontal="center"/>
    </xf>
    <xf numFmtId="43" fontId="58" fillId="9" borderId="19" xfId="0" applyNumberFormat="1" applyFont="1" applyFill="1" applyBorder="1" applyAlignment="1">
      <alignment horizontal="center"/>
    </xf>
    <xf numFmtId="167" fontId="15" fillId="9" borderId="19" xfId="0" applyNumberFormat="1" applyFont="1" applyFill="1" applyBorder="1" applyAlignment="1">
      <alignment horizontal="center"/>
    </xf>
    <xf numFmtId="165" fontId="15" fillId="9" borderId="19" xfId="0" applyNumberFormat="1" applyFont="1" applyFill="1" applyBorder="1" applyAlignment="1">
      <alignment horizontal="center"/>
    </xf>
    <xf numFmtId="165" fontId="15" fillId="9" borderId="62" xfId="0" applyNumberFormat="1" applyFont="1" applyFill="1" applyBorder="1" applyAlignment="1">
      <alignment horizontal="center"/>
    </xf>
    <xf numFmtId="0" fontId="58" fillId="0" borderId="0" xfId="0" applyFont="1" applyFill="1" applyBorder="1" applyAlignment="1">
      <alignment horizontal="center" vertical="center"/>
    </xf>
    <xf numFmtId="0" fontId="59" fillId="9" borderId="40" xfId="0" applyFont="1" applyFill="1" applyBorder="1" applyAlignment="1">
      <alignment horizontal="center" vertical="center"/>
    </xf>
    <xf numFmtId="0" fontId="59" fillId="9" borderId="31" xfId="0" applyFont="1" applyFill="1" applyBorder="1" applyAlignment="1">
      <alignment horizontal="center" vertical="center"/>
    </xf>
    <xf numFmtId="0" fontId="75" fillId="9" borderId="31" xfId="0" applyFont="1" applyFill="1" applyBorder="1" applyAlignment="1">
      <alignment horizontal="center" vertical="center"/>
    </xf>
    <xf numFmtId="0" fontId="59" fillId="9" borderId="32" xfId="0" applyFont="1" applyFill="1" applyBorder="1" applyAlignment="1">
      <alignment horizontal="center" vertical="center" wrapText="1"/>
    </xf>
    <xf numFmtId="0" fontId="75" fillId="16" borderId="16" xfId="0" applyFont="1" applyFill="1" applyBorder="1" applyAlignment="1">
      <alignment horizontal="center" vertical="distributed"/>
    </xf>
    <xf numFmtId="0" fontId="54" fillId="0" borderId="0" xfId="0" applyFont="1" applyFill="1" applyBorder="1"/>
    <xf numFmtId="0" fontId="84" fillId="0" borderId="0" xfId="0" applyFont="1" applyFill="1" applyBorder="1" applyAlignment="1">
      <alignment horizontal="left" vertical="center"/>
    </xf>
    <xf numFmtId="2" fontId="58" fillId="0" borderId="24" xfId="0" applyNumberFormat="1" applyFont="1" applyFill="1" applyBorder="1" applyAlignment="1">
      <alignment horizontal="center" vertical="center"/>
    </xf>
    <xf numFmtId="166" fontId="58" fillId="0" borderId="24" xfId="1" applyNumberFormat="1" applyFont="1" applyFill="1" applyBorder="1" applyAlignment="1">
      <alignment horizontal="center" vertical="center"/>
    </xf>
    <xf numFmtId="167" fontId="58" fillId="0" borderId="24" xfId="0" applyNumberFormat="1" applyFont="1" applyFill="1" applyBorder="1" applyAlignment="1">
      <alignment horizontal="center" vertical="center"/>
    </xf>
    <xf numFmtId="165" fontId="77" fillId="0" borderId="24" xfId="0" applyNumberFormat="1" applyFont="1" applyFill="1" applyBorder="1" applyAlignment="1">
      <alignment vertical="center"/>
    </xf>
    <xf numFmtId="0" fontId="85" fillId="0" borderId="0" xfId="0" applyFont="1" applyAlignment="1">
      <alignment horizontal="left" vertical="center" wrapText="1"/>
    </xf>
    <xf numFmtId="0" fontId="86" fillId="0" borderId="0" xfId="0" applyFont="1" applyFill="1" applyBorder="1" applyAlignment="1">
      <alignment horizontal="left" vertical="center"/>
    </xf>
    <xf numFmtId="2" fontId="58" fillId="0" borderId="11" xfId="0" applyNumberFormat="1" applyFont="1" applyFill="1" applyBorder="1" applyAlignment="1">
      <alignment horizontal="center" vertical="center"/>
    </xf>
    <xf numFmtId="166" fontId="58" fillId="0" borderId="11" xfId="0" applyNumberFormat="1" applyFont="1" applyFill="1" applyBorder="1" applyAlignment="1">
      <alignment horizontal="center" vertical="center"/>
    </xf>
    <xf numFmtId="167" fontId="58" fillId="0" borderId="0" xfId="0" applyNumberFormat="1" applyFont="1" applyFill="1" applyBorder="1" applyAlignment="1">
      <alignment horizontal="center" vertical="center"/>
    </xf>
    <xf numFmtId="164" fontId="15" fillId="0" borderId="0" xfId="1" applyNumberFormat="1" applyFont="1" applyFill="1" applyBorder="1" applyAlignment="1">
      <alignment horizontal="center"/>
    </xf>
    <xf numFmtId="165" fontId="86" fillId="0" borderId="11" xfId="0" applyNumberFormat="1" applyFont="1" applyFill="1" applyBorder="1" applyAlignment="1">
      <alignment vertical="center"/>
    </xf>
    <xf numFmtId="0" fontId="59" fillId="0" borderId="0" xfId="0" applyFont="1" applyFill="1" applyBorder="1" applyAlignment="1">
      <alignment horizontal="left"/>
    </xf>
    <xf numFmtId="167" fontId="59" fillId="0" borderId="0" xfId="2" applyNumberFormat="1" applyFont="1" applyFill="1" applyBorder="1"/>
    <xf numFmtId="0" fontId="88" fillId="0" borderId="0" xfId="0" applyFont="1" applyFill="1" applyBorder="1" applyAlignment="1">
      <alignment horizontal="center"/>
    </xf>
    <xf numFmtId="0" fontId="88" fillId="0" borderId="0" xfId="0" applyFont="1" applyAlignment="1">
      <alignment vertical="distributed"/>
    </xf>
    <xf numFmtId="43" fontId="58" fillId="0" borderId="0" xfId="1" applyFont="1" applyFill="1" applyBorder="1"/>
    <xf numFmtId="0" fontId="77" fillId="0" borderId="0" xfId="0" applyFont="1"/>
    <xf numFmtId="0" fontId="59" fillId="0" borderId="11" xfId="0" applyFont="1" applyBorder="1" applyAlignment="1">
      <alignment horizontal="center"/>
    </xf>
    <xf numFmtId="2" fontId="58" fillId="0" borderId="11" xfId="0" applyNumberFormat="1" applyFont="1" applyFill="1" applyBorder="1" applyAlignment="1">
      <alignment horizontal="center"/>
    </xf>
    <xf numFmtId="0" fontId="89" fillId="0" borderId="0" xfId="0" applyFont="1" applyFill="1" applyBorder="1"/>
    <xf numFmtId="0" fontId="54" fillId="0" borderId="11" xfId="0" applyFont="1" applyFill="1" applyBorder="1" applyAlignment="1">
      <alignment horizontal="center"/>
    </xf>
    <xf numFmtId="0" fontId="58" fillId="0" borderId="11" xfId="0" applyFont="1" applyFill="1" applyBorder="1" applyAlignment="1">
      <alignment horizontal="center"/>
    </xf>
    <xf numFmtId="0" fontId="54" fillId="0" borderId="0" xfId="0" applyFont="1" applyAlignment="1">
      <alignment horizontal="right"/>
    </xf>
    <xf numFmtId="0" fontId="77" fillId="0" borderId="11" xfId="0" applyFont="1" applyFill="1" applyBorder="1" applyAlignment="1">
      <alignment horizontal="center"/>
    </xf>
    <xf numFmtId="0" fontId="58" fillId="0" borderId="13" xfId="0" applyFont="1" applyBorder="1"/>
    <xf numFmtId="0" fontId="58" fillId="0" borderId="17" xfId="0" applyFont="1" applyBorder="1" applyAlignment="1">
      <alignment horizontal="right"/>
    </xf>
    <xf numFmtId="2" fontId="58" fillId="9" borderId="22" xfId="0" applyNumberFormat="1" applyFont="1" applyFill="1" applyBorder="1" applyAlignment="1">
      <alignment horizontal="right"/>
    </xf>
    <xf numFmtId="182" fontId="59" fillId="2" borderId="11" xfId="0" applyNumberFormat="1" applyFont="1" applyFill="1" applyBorder="1" applyAlignment="1">
      <alignment horizontal="center"/>
    </xf>
    <xf numFmtId="2" fontId="59" fillId="3" borderId="11" xfId="0" applyNumberFormat="1" applyFont="1" applyFill="1" applyBorder="1" applyAlignment="1">
      <alignment horizontal="center"/>
    </xf>
    <xf numFmtId="182" fontId="59" fillId="4" borderId="11" xfId="0" applyNumberFormat="1" applyFont="1" applyFill="1" applyBorder="1" applyAlignment="1">
      <alignment horizontal="center"/>
    </xf>
    <xf numFmtId="0" fontId="76" fillId="0" borderId="0" xfId="0" applyFont="1" applyFill="1" applyBorder="1" applyAlignment="1">
      <alignment horizontal="center"/>
    </xf>
    <xf numFmtId="0" fontId="34" fillId="0" borderId="0" xfId="0" applyFont="1" applyFill="1" applyBorder="1" applyAlignment="1">
      <alignment horizontal="center"/>
    </xf>
    <xf numFmtId="2" fontId="58" fillId="9" borderId="11" xfId="0" applyNumberFormat="1" applyFont="1" applyFill="1" applyBorder="1" applyAlignment="1">
      <alignment horizontal="center"/>
    </xf>
    <xf numFmtId="0" fontId="58" fillId="9" borderId="11" xfId="0" applyFont="1" applyFill="1" applyBorder="1" applyAlignment="1">
      <alignment horizontal="center"/>
    </xf>
    <xf numFmtId="167" fontId="20" fillId="0" borderId="0" xfId="2" applyNumberFormat="1" applyFont="1" applyFill="1" applyBorder="1"/>
    <xf numFmtId="0" fontId="59" fillId="17" borderId="15" xfId="0" applyFont="1" applyFill="1" applyBorder="1" applyAlignment="1">
      <alignment horizontal="center" vertical="distributed"/>
    </xf>
    <xf numFmtId="0" fontId="59" fillId="17" borderId="16" xfId="0" applyFont="1" applyFill="1" applyBorder="1" applyAlignment="1">
      <alignment horizontal="center" vertical="distributed"/>
    </xf>
    <xf numFmtId="0" fontId="59" fillId="17" borderId="36" xfId="0" applyFont="1" applyFill="1" applyBorder="1" applyAlignment="1">
      <alignment horizontal="center" vertical="center" wrapText="1"/>
    </xf>
    <xf numFmtId="0" fontId="90" fillId="0" borderId="0" xfId="0" applyFont="1" applyAlignment="1">
      <alignment vertical="center"/>
    </xf>
    <xf numFmtId="9" fontId="15" fillId="0" borderId="0" xfId="0" applyNumberFormat="1" applyFont="1" applyFill="1"/>
    <xf numFmtId="43" fontId="15" fillId="0" borderId="0" xfId="1" applyFont="1" applyAlignment="1">
      <alignment horizontal="right"/>
    </xf>
    <xf numFmtId="167" fontId="15" fillId="0" borderId="46" xfId="0" applyNumberFormat="1" applyFont="1" applyBorder="1" applyAlignment="1">
      <alignment horizontal="center" vertical="center"/>
    </xf>
    <xf numFmtId="10" fontId="56" fillId="0" borderId="31" xfId="0" applyNumberFormat="1" applyFont="1" applyBorder="1" applyAlignment="1">
      <alignment horizontal="center" vertical="center"/>
    </xf>
    <xf numFmtId="187" fontId="15" fillId="0" borderId="0" xfId="0" applyNumberFormat="1" applyFont="1" applyFill="1"/>
    <xf numFmtId="49" fontId="50" fillId="11" borderId="26" xfId="0" applyNumberFormat="1" applyFont="1" applyFill="1" applyBorder="1" applyAlignment="1">
      <alignment horizontal="center" vertical="center"/>
    </xf>
    <xf numFmtId="0" fontId="92" fillId="0" borderId="11" xfId="0" applyFont="1" applyBorder="1" applyAlignment="1">
      <alignment horizontal="center"/>
    </xf>
    <xf numFmtId="49" fontId="93" fillId="0" borderId="11" xfId="0" applyNumberFormat="1" applyFont="1" applyBorder="1" applyAlignment="1">
      <alignment horizontal="center"/>
    </xf>
    <xf numFmtId="0" fontId="93" fillId="0" borderId="0" xfId="0" applyFont="1" applyAlignment="1">
      <alignment horizontal="center" vertical="center"/>
    </xf>
    <xf numFmtId="0" fontId="93" fillId="0" borderId="0" xfId="0" applyFont="1" applyFill="1" applyAlignment="1">
      <alignment horizontal="center" vertical="center"/>
    </xf>
    <xf numFmtId="0" fontId="85" fillId="0" borderId="0" xfId="0" applyFont="1" applyFill="1" applyAlignment="1">
      <alignment vertical="center"/>
    </xf>
    <xf numFmtId="2" fontId="52" fillId="0" borderId="11" xfId="0" applyNumberFormat="1" applyFont="1" applyBorder="1" applyAlignment="1">
      <alignment horizontal="center" vertical="center"/>
    </xf>
    <xf numFmtId="0" fontId="96" fillId="0" borderId="0" xfId="0" applyFont="1" applyFill="1"/>
    <xf numFmtId="0" fontId="96" fillId="0" borderId="0" xfId="0" applyFont="1"/>
    <xf numFmtId="0" fontId="97" fillId="0" borderId="0" xfId="0" applyFont="1" applyAlignment="1">
      <alignment horizontal="center" vertical="center"/>
    </xf>
    <xf numFmtId="10" fontId="97" fillId="0" borderId="11" xfId="0" applyNumberFormat="1" applyFont="1" applyBorder="1" applyAlignment="1">
      <alignment horizontal="center" vertical="distributed"/>
    </xf>
    <xf numFmtId="9" fontId="97" fillId="0" borderId="11" xfId="0" applyNumberFormat="1" applyFont="1" applyBorder="1" applyAlignment="1">
      <alignment horizontal="center" vertical="distributed"/>
    </xf>
    <xf numFmtId="49" fontId="38" fillId="10" borderId="11" xfId="0" applyNumberFormat="1" applyFont="1" applyFill="1" applyBorder="1" applyAlignment="1">
      <alignment horizontal="center" vertical="center"/>
    </xf>
    <xf numFmtId="0" fontId="95" fillId="0" borderId="11" xfId="0" applyFont="1" applyBorder="1" applyAlignment="1">
      <alignment horizontal="center" vertical="center"/>
    </xf>
    <xf numFmtId="0" fontId="92" fillId="0" borderId="11" xfId="0" applyFont="1" applyBorder="1" applyAlignment="1">
      <alignment horizontal="center" vertical="center"/>
    </xf>
    <xf numFmtId="0" fontId="98" fillId="0" borderId="11" xfId="0" applyFont="1" applyBorder="1" applyAlignment="1">
      <alignment horizontal="center" vertical="center"/>
    </xf>
    <xf numFmtId="0" fontId="94" fillId="0" borderId="11" xfId="0" applyFont="1" applyFill="1" applyBorder="1" applyAlignment="1">
      <alignment horizontal="center" vertical="center"/>
    </xf>
    <xf numFmtId="167" fontId="15" fillId="0" borderId="0" xfId="2" applyNumberFormat="1" applyFont="1" applyBorder="1" applyAlignment="1">
      <alignment horizontal="center" vertical="center"/>
    </xf>
    <xf numFmtId="43" fontId="15" fillId="0" borderId="0" xfId="1" applyFont="1" applyBorder="1" applyAlignment="1">
      <alignment horizontal="center"/>
    </xf>
    <xf numFmtId="165" fontId="15" fillId="0" borderId="0" xfId="0" applyNumberFormat="1" applyFont="1" applyFill="1" applyBorder="1" applyAlignment="1">
      <alignment horizontal="right"/>
    </xf>
    <xf numFmtId="166" fontId="15" fillId="0" borderId="0" xfId="0" applyNumberFormat="1" applyFont="1" applyFill="1" applyBorder="1"/>
    <xf numFmtId="168" fontId="15" fillId="0" borderId="0" xfId="1" applyNumberFormat="1" applyFont="1" applyFill="1" applyBorder="1" applyAlignment="1">
      <alignment horizontal="center"/>
    </xf>
    <xf numFmtId="171" fontId="15" fillId="0" borderId="0" xfId="0" applyNumberFormat="1" applyFont="1" applyFill="1" applyBorder="1" applyAlignment="1">
      <alignment horizontal="left"/>
    </xf>
    <xf numFmtId="0" fontId="20" fillId="0" borderId="11" xfId="0" applyFont="1" applyBorder="1" applyAlignment="1">
      <alignment horizontal="center" vertical="distributed"/>
    </xf>
    <xf numFmtId="0" fontId="20" fillId="0" borderId="12" xfId="0" applyFont="1" applyFill="1" applyBorder="1" applyAlignment="1">
      <alignment horizontal="center" vertical="distributed"/>
    </xf>
    <xf numFmtId="0" fontId="20" fillId="0" borderId="12" xfId="0" applyFont="1" applyBorder="1" applyAlignment="1">
      <alignment horizontal="center" vertical="distributed"/>
    </xf>
    <xf numFmtId="164" fontId="15" fillId="0" borderId="11" xfId="0" applyNumberFormat="1" applyFont="1" applyBorder="1" applyAlignment="1">
      <alignment horizontal="center"/>
    </xf>
    <xf numFmtId="0" fontId="15" fillId="0" borderId="11" xfId="0" applyFont="1" applyBorder="1" applyAlignment="1">
      <alignment horizontal="center"/>
    </xf>
    <xf numFmtId="43" fontId="15" fillId="0" borderId="13" xfId="1" applyFont="1" applyFill="1" applyBorder="1" applyAlignment="1">
      <alignment horizontal="center"/>
    </xf>
    <xf numFmtId="43" fontId="15" fillId="0" borderId="0" xfId="0" applyNumberFormat="1" applyFont="1" applyBorder="1" applyAlignment="1">
      <alignment horizontal="center"/>
    </xf>
    <xf numFmtId="10" fontId="20" fillId="0" borderId="0" xfId="2" applyNumberFormat="1" applyFont="1" applyFill="1" applyBorder="1" applyAlignment="1"/>
    <xf numFmtId="0" fontId="15" fillId="5" borderId="18" xfId="0" applyFont="1" applyFill="1" applyBorder="1"/>
    <xf numFmtId="0" fontId="15" fillId="6" borderId="11" xfId="0" applyFont="1" applyFill="1" applyBorder="1" applyAlignment="1">
      <alignment horizontal="center"/>
    </xf>
    <xf numFmtId="164" fontId="15" fillId="7" borderId="13" xfId="0" applyNumberFormat="1" applyFont="1" applyFill="1" applyBorder="1" applyAlignment="1">
      <alignment horizontal="center"/>
    </xf>
    <xf numFmtId="0" fontId="15" fillId="5" borderId="20" xfId="0" applyFont="1" applyFill="1" applyBorder="1"/>
    <xf numFmtId="0" fontId="15" fillId="3" borderId="13" xfId="0" applyFont="1" applyFill="1" applyBorder="1" applyAlignment="1">
      <alignment horizontal="center"/>
    </xf>
    <xf numFmtId="164" fontId="15" fillId="7" borderId="18" xfId="0" applyNumberFormat="1" applyFont="1" applyFill="1" applyBorder="1" applyAlignment="1">
      <alignment horizontal="center"/>
    </xf>
    <xf numFmtId="0" fontId="68" fillId="0" borderId="11" xfId="0" applyFont="1" applyFill="1" applyBorder="1" applyAlignment="1">
      <alignment horizontal="right"/>
    </xf>
    <xf numFmtId="0" fontId="15" fillId="0" borderId="13" xfId="0" applyFont="1" applyBorder="1"/>
    <xf numFmtId="164" fontId="20" fillId="0" borderId="11" xfId="0" applyNumberFormat="1" applyFont="1" applyBorder="1" applyAlignment="1">
      <alignment horizontal="center"/>
    </xf>
    <xf numFmtId="43" fontId="20" fillId="0" borderId="0" xfId="1" applyFont="1"/>
    <xf numFmtId="43" fontId="15" fillId="8" borderId="0" xfId="0" applyNumberFormat="1" applyFont="1" applyFill="1"/>
    <xf numFmtId="0" fontId="20" fillId="0" borderId="30" xfId="0" applyFont="1" applyBorder="1" applyAlignment="1">
      <alignment horizontal="left"/>
    </xf>
    <xf numFmtId="0" fontId="15" fillId="0" borderId="23" xfId="0" applyFont="1" applyBorder="1" applyAlignment="1">
      <alignment horizontal="left" vertical="center"/>
    </xf>
    <xf numFmtId="0" fontId="15" fillId="0" borderId="21" xfId="0" applyFont="1" applyBorder="1" applyAlignment="1">
      <alignment horizontal="center" vertical="center"/>
    </xf>
    <xf numFmtId="43" fontId="15" fillId="0" borderId="38" xfId="1" applyFont="1" applyBorder="1" applyAlignment="1">
      <alignment horizontal="center"/>
    </xf>
    <xf numFmtId="0" fontId="15" fillId="0" borderId="20" xfId="0" applyFont="1" applyBorder="1" applyAlignment="1">
      <alignment horizontal="center" vertical="center"/>
    </xf>
    <xf numFmtId="167" fontId="15" fillId="0" borderId="20" xfId="2" applyNumberFormat="1" applyFont="1" applyBorder="1" applyAlignment="1">
      <alignment horizontal="center" vertical="center"/>
    </xf>
    <xf numFmtId="167" fontId="15" fillId="0" borderId="18" xfId="2" applyNumberFormat="1" applyFont="1" applyBorder="1" applyAlignment="1">
      <alignment horizontal="center" vertical="center"/>
    </xf>
    <xf numFmtId="0" fontId="92" fillId="0" borderId="0" xfId="0" applyFont="1" applyAlignment="1">
      <alignment horizontal="right"/>
    </xf>
    <xf numFmtId="0" fontId="95" fillId="0" borderId="0" xfId="0" applyFont="1" applyAlignment="1">
      <alignment horizontal="right"/>
    </xf>
    <xf numFmtId="4" fontId="58" fillId="10" borderId="33" xfId="0" applyNumberFormat="1" applyFont="1" applyFill="1" applyBorder="1" applyAlignment="1">
      <alignment horizontal="center" vertical="center"/>
    </xf>
    <xf numFmtId="4" fontId="58" fillId="10" borderId="24" xfId="0" applyNumberFormat="1" applyFont="1" applyFill="1" applyBorder="1" applyAlignment="1">
      <alignment horizontal="center" vertical="center"/>
    </xf>
    <xf numFmtId="4" fontId="15" fillId="0" borderId="0" xfId="0" applyNumberFormat="1" applyFont="1" applyFill="1" applyBorder="1"/>
    <xf numFmtId="4" fontId="16" fillId="0" borderId="0" xfId="0" applyNumberFormat="1" applyFont="1" applyFill="1" applyBorder="1" applyAlignment="1">
      <alignment horizontal="center" vertical="center"/>
    </xf>
    <xf numFmtId="4" fontId="58" fillId="10" borderId="60" xfId="0" applyNumberFormat="1" applyFont="1" applyFill="1" applyBorder="1" applyAlignment="1">
      <alignment horizontal="center" vertical="center"/>
    </xf>
    <xf numFmtId="4" fontId="58" fillId="10" borderId="12"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xf>
    <xf numFmtId="4" fontId="59" fillId="0" borderId="15" xfId="0" applyNumberFormat="1" applyFont="1" applyFill="1" applyBorder="1" applyAlignment="1">
      <alignment horizontal="center" vertical="center"/>
    </xf>
    <xf numFmtId="4" fontId="59" fillId="0" borderId="16" xfId="0" applyNumberFormat="1" applyFont="1" applyFill="1" applyBorder="1" applyAlignment="1">
      <alignment horizontal="center" vertical="center"/>
    </xf>
    <xf numFmtId="4" fontId="16" fillId="0" borderId="0" xfId="1" applyNumberFormat="1" applyFont="1" applyFill="1" applyBorder="1" applyAlignment="1">
      <alignment horizontal="center" vertical="center"/>
    </xf>
    <xf numFmtId="3" fontId="58" fillId="10" borderId="34" xfId="1" applyNumberFormat="1" applyFont="1" applyFill="1" applyBorder="1" applyAlignment="1">
      <alignment horizontal="center" vertical="center"/>
    </xf>
    <xf numFmtId="3" fontId="58" fillId="10" borderId="61" xfId="1" applyNumberFormat="1" applyFont="1" applyFill="1" applyBorder="1" applyAlignment="1">
      <alignment horizontal="center" vertical="center"/>
    </xf>
    <xf numFmtId="3" fontId="59" fillId="0" borderId="36" xfId="1" applyNumberFormat="1" applyFont="1" applyFill="1" applyBorder="1" applyAlignment="1">
      <alignment horizontal="center" vertical="center"/>
    </xf>
    <xf numFmtId="3" fontId="58" fillId="0" borderId="0" xfId="1" applyNumberFormat="1" applyFont="1" applyFill="1" applyBorder="1" applyAlignment="1">
      <alignment horizontal="center" vertical="center"/>
    </xf>
    <xf numFmtId="3" fontId="58" fillId="0" borderId="0" xfId="0" applyNumberFormat="1" applyFont="1" applyFill="1" applyBorder="1" applyAlignment="1">
      <alignment horizontal="center" vertical="center"/>
    </xf>
    <xf numFmtId="188" fontId="58" fillId="12" borderId="13" xfId="0" applyNumberFormat="1" applyFont="1" applyFill="1" applyBorder="1" applyAlignment="1">
      <alignment horizontal="center" vertical="center"/>
    </xf>
    <xf numFmtId="49" fontId="15" fillId="0" borderId="17" xfId="0" applyNumberFormat="1" applyFont="1" applyFill="1" applyBorder="1" applyAlignment="1">
      <alignment horizontal="left" vertical="center"/>
    </xf>
    <xf numFmtId="4" fontId="16" fillId="0" borderId="22" xfId="0" applyNumberFormat="1" applyFont="1" applyFill="1" applyBorder="1" applyAlignment="1">
      <alignment horizontal="center" vertical="center"/>
    </xf>
    <xf numFmtId="0" fontId="20" fillId="13" borderId="0" xfId="0" applyFont="1" applyFill="1" applyBorder="1" applyAlignment="1">
      <alignment horizontal="right" vertical="center"/>
    </xf>
    <xf numFmtId="0" fontId="20" fillId="13" borderId="15" xfId="0" applyFont="1" applyFill="1" applyBorder="1" applyAlignment="1">
      <alignment horizontal="center" vertical="center"/>
    </xf>
    <xf numFmtId="43" fontId="20" fillId="13" borderId="16" xfId="1" applyFont="1" applyFill="1" applyBorder="1" applyAlignment="1">
      <alignment horizontal="center" vertical="center"/>
    </xf>
    <xf numFmtId="0" fontId="20" fillId="13" borderId="0" xfId="0" applyFont="1" applyFill="1" applyBorder="1" applyAlignment="1">
      <alignment horizontal="center" vertical="center"/>
    </xf>
    <xf numFmtId="43" fontId="20" fillId="13" borderId="0" xfId="1" applyFont="1" applyFill="1" applyBorder="1" applyAlignment="1">
      <alignment horizontal="center" vertical="center"/>
    </xf>
    <xf numFmtId="0" fontId="15" fillId="13" borderId="41" xfId="0" applyFont="1" applyFill="1" applyBorder="1" applyAlignment="1">
      <alignment horizontal="left" vertical="center"/>
    </xf>
    <xf numFmtId="10" fontId="15" fillId="13" borderId="26" xfId="0" applyNumberFormat="1" applyFont="1" applyFill="1" applyBorder="1" applyAlignment="1">
      <alignment horizontal="center" vertical="center"/>
    </xf>
    <xf numFmtId="10" fontId="15" fillId="13" borderId="42" xfId="0" applyNumberFormat="1" applyFont="1" applyFill="1" applyBorder="1" applyAlignment="1">
      <alignment horizontal="center" vertical="center"/>
    </xf>
    <xf numFmtId="0" fontId="15" fillId="13" borderId="30" xfId="0" applyFont="1" applyFill="1" applyBorder="1" applyAlignment="1">
      <alignment horizontal="left" vertical="center"/>
    </xf>
    <xf numFmtId="0" fontId="15" fillId="13" borderId="11" xfId="0" applyFont="1" applyFill="1" applyBorder="1" applyAlignment="1">
      <alignment horizontal="center" vertical="center"/>
    </xf>
    <xf numFmtId="0" fontId="15" fillId="13" borderId="27" xfId="0" applyFont="1" applyFill="1" applyBorder="1" applyAlignment="1">
      <alignment horizontal="center" vertical="center"/>
    </xf>
    <xf numFmtId="0" fontId="15" fillId="13" borderId="29" xfId="0" applyFont="1" applyFill="1" applyBorder="1" applyAlignment="1">
      <alignment horizontal="left" vertical="center"/>
    </xf>
    <xf numFmtId="167" fontId="100" fillId="13" borderId="28" xfId="0" applyNumberFormat="1" applyFont="1" applyFill="1" applyBorder="1" applyAlignment="1">
      <alignment horizontal="center" vertical="center"/>
    </xf>
    <xf numFmtId="167" fontId="102" fillId="13" borderId="35" xfId="0" quotePrefix="1" applyNumberFormat="1" applyFont="1" applyFill="1" applyBorder="1" applyAlignment="1">
      <alignment horizontal="center" vertical="center"/>
    </xf>
    <xf numFmtId="0" fontId="15" fillId="13" borderId="0" xfId="0" applyFont="1" applyFill="1" applyBorder="1" applyAlignment="1">
      <alignment horizontal="left" vertical="center"/>
    </xf>
    <xf numFmtId="0" fontId="15" fillId="13" borderId="0" xfId="0" applyFont="1" applyFill="1" applyBorder="1" applyAlignment="1">
      <alignment horizontal="center" vertical="center"/>
    </xf>
    <xf numFmtId="0" fontId="15" fillId="13" borderId="26" xfId="0" applyFont="1" applyFill="1" applyBorder="1" applyAlignment="1">
      <alignment horizontal="center" vertical="center"/>
    </xf>
    <xf numFmtId="43" fontId="15" fillId="13" borderId="42" xfId="1" applyFont="1" applyFill="1" applyBorder="1" applyAlignment="1">
      <alignment horizontal="center" vertical="center"/>
    </xf>
    <xf numFmtId="0" fontId="101" fillId="13" borderId="28" xfId="0" applyFont="1" applyFill="1" applyBorder="1" applyAlignment="1">
      <alignment horizontal="center" vertical="center"/>
    </xf>
    <xf numFmtId="0" fontId="99" fillId="13" borderId="35" xfId="0" applyFont="1" applyFill="1" applyBorder="1" applyAlignment="1">
      <alignment horizontal="center" vertical="center"/>
    </xf>
    <xf numFmtId="0" fontId="15" fillId="0" borderId="39" xfId="0" applyFont="1" applyBorder="1" applyAlignment="1">
      <alignment horizontal="center" vertical="center"/>
    </xf>
    <xf numFmtId="0" fontId="0" fillId="13" borderId="0" xfId="0" applyFill="1"/>
    <xf numFmtId="0" fontId="57" fillId="13" borderId="0" xfId="0" applyFont="1" applyFill="1" applyBorder="1" applyAlignment="1">
      <alignment horizontal="left" vertical="distributed"/>
    </xf>
    <xf numFmtId="0" fontId="58" fillId="13" borderId="0" xfId="0" applyFont="1" applyFill="1"/>
    <xf numFmtId="0" fontId="58" fillId="13" borderId="2" xfId="0" applyFont="1" applyFill="1" applyBorder="1" applyAlignment="1">
      <alignment horizontal="right"/>
    </xf>
    <xf numFmtId="0" fontId="58" fillId="13" borderId="14" xfId="0" applyFont="1" applyFill="1" applyBorder="1"/>
    <xf numFmtId="0" fontId="58" fillId="13" borderId="4" xfId="0" applyFont="1" applyFill="1" applyBorder="1"/>
    <xf numFmtId="0" fontId="58" fillId="13" borderId="5" xfId="0" applyFont="1" applyFill="1" applyBorder="1" applyAlignment="1">
      <alignment horizontal="right" vertical="center"/>
    </xf>
    <xf numFmtId="0" fontId="58" fillId="13" borderId="0" xfId="0" applyFont="1" applyFill="1" applyBorder="1" applyAlignment="1">
      <alignment horizontal="center" vertical="center"/>
    </xf>
    <xf numFmtId="0" fontId="58" fillId="13" borderId="0" xfId="0" applyFont="1" applyFill="1" applyBorder="1" applyAlignment="1">
      <alignment vertical="center"/>
    </xf>
    <xf numFmtId="49" fontId="58" fillId="13" borderId="0" xfId="0" applyNumberFormat="1" applyFont="1" applyFill="1" applyBorder="1" applyAlignment="1">
      <alignment horizontal="center" vertical="center"/>
    </xf>
    <xf numFmtId="0" fontId="58" fillId="13" borderId="0" xfId="0" applyFont="1" applyFill="1" applyBorder="1" applyAlignment="1">
      <alignment horizontal="right" vertical="center"/>
    </xf>
    <xf numFmtId="0" fontId="58" fillId="13" borderId="7" xfId="0" applyFont="1" applyFill="1" applyBorder="1" applyAlignment="1">
      <alignment vertical="center"/>
    </xf>
    <xf numFmtId="0" fontId="58" fillId="13" borderId="8" xfId="0" applyFont="1" applyFill="1" applyBorder="1" applyAlignment="1">
      <alignment horizontal="right" vertical="center"/>
    </xf>
    <xf numFmtId="10" fontId="58" fillId="13" borderId="56" xfId="2" applyNumberFormat="1" applyFont="1" applyFill="1" applyBorder="1" applyAlignment="1">
      <alignment vertical="center"/>
    </xf>
    <xf numFmtId="0" fontId="58" fillId="13" borderId="1" xfId="0" applyFont="1" applyFill="1" applyBorder="1" applyAlignment="1">
      <alignment vertical="center"/>
    </xf>
    <xf numFmtId="0" fontId="58" fillId="13" borderId="10" xfId="0" applyFont="1" applyFill="1" applyBorder="1" applyAlignment="1">
      <alignment vertical="center"/>
    </xf>
    <xf numFmtId="0" fontId="58" fillId="13" borderId="0" xfId="0" applyFont="1" applyFill="1" applyBorder="1" applyAlignment="1">
      <alignment horizontal="right"/>
    </xf>
    <xf numFmtId="174" fontId="59" fillId="13" borderId="0" xfId="0" applyNumberFormat="1" applyFont="1" applyFill="1" applyBorder="1" applyAlignment="1">
      <alignment horizontal="right"/>
    </xf>
    <xf numFmtId="0" fontId="59" fillId="13" borderId="0" xfId="0" applyFont="1" applyFill="1" applyBorder="1"/>
    <xf numFmtId="0" fontId="58" fillId="13" borderId="0" xfId="0" applyFont="1" applyFill="1" applyAlignment="1">
      <alignment horizontal="right"/>
    </xf>
    <xf numFmtId="0" fontId="60" fillId="13" borderId="0" xfId="0" applyFont="1" applyFill="1"/>
    <xf numFmtId="0" fontId="59" fillId="13" borderId="0" xfId="0" applyFont="1" applyFill="1"/>
    <xf numFmtId="0" fontId="58" fillId="13" borderId="0" xfId="0" applyFont="1" applyFill="1" applyAlignment="1">
      <alignment vertical="center"/>
    </xf>
    <xf numFmtId="0" fontId="44" fillId="13" borderId="0" xfId="0" applyFont="1" applyFill="1" applyAlignment="1">
      <alignment vertical="center"/>
    </xf>
    <xf numFmtId="0" fontId="36" fillId="13" borderId="0" xfId="0" applyFont="1" applyFill="1"/>
    <xf numFmtId="0" fontId="15" fillId="13" borderId="0" xfId="0" applyFont="1" applyFill="1"/>
    <xf numFmtId="0" fontId="59" fillId="13" borderId="33" xfId="0" applyFont="1" applyFill="1" applyBorder="1" applyAlignment="1">
      <alignment vertical="center"/>
    </xf>
    <xf numFmtId="0" fontId="59" fillId="13" borderId="24" xfId="0" applyFont="1" applyFill="1" applyBorder="1" applyAlignment="1">
      <alignment vertical="center"/>
    </xf>
    <xf numFmtId="170" fontId="58" fillId="13" borderId="34" xfId="0" applyNumberFormat="1" applyFont="1" applyFill="1" applyBorder="1" applyAlignment="1">
      <alignment horizontal="right" vertical="center"/>
    </xf>
    <xf numFmtId="173" fontId="45" fillId="13" borderId="0" xfId="2" applyNumberFormat="1" applyFont="1" applyFill="1"/>
    <xf numFmtId="43" fontId="36" fillId="13" borderId="0" xfId="1" applyFont="1" applyFill="1"/>
    <xf numFmtId="0" fontId="59" fillId="13" borderId="30" xfId="0" applyFont="1" applyFill="1" applyBorder="1" applyAlignment="1">
      <alignment vertical="center"/>
    </xf>
    <xf numFmtId="0" fontId="59" fillId="13" borderId="11" xfId="0" applyFont="1" applyFill="1" applyBorder="1" applyAlignment="1">
      <alignment vertical="center"/>
    </xf>
    <xf numFmtId="170" fontId="58" fillId="13" borderId="27" xfId="0" applyNumberFormat="1" applyFont="1" applyFill="1" applyBorder="1" applyAlignment="1">
      <alignment horizontal="right" vertical="center"/>
    </xf>
    <xf numFmtId="0" fontId="45" fillId="13" borderId="0" xfId="0" applyFont="1" applyFill="1"/>
    <xf numFmtId="0" fontId="58" fillId="13" borderId="30" xfId="0" applyFont="1" applyFill="1" applyBorder="1" applyAlignment="1">
      <alignment vertical="center"/>
    </xf>
    <xf numFmtId="170" fontId="58" fillId="13" borderId="11" xfId="0" applyNumberFormat="1" applyFont="1" applyFill="1" applyBorder="1" applyAlignment="1">
      <alignment horizontal="right" vertical="center"/>
    </xf>
    <xf numFmtId="43" fontId="36" fillId="13" borderId="0" xfId="0" applyNumberFormat="1" applyFont="1" applyFill="1"/>
    <xf numFmtId="49" fontId="58" fillId="13" borderId="30" xfId="0" applyNumberFormat="1" applyFont="1" applyFill="1" applyBorder="1" applyAlignment="1">
      <alignment vertical="center"/>
    </xf>
    <xf numFmtId="0" fontId="46" fillId="13" borderId="13" xfId="0" applyFont="1" applyFill="1" applyBorder="1"/>
    <xf numFmtId="0" fontId="36" fillId="13" borderId="17" xfId="0" applyFont="1" applyFill="1" applyBorder="1"/>
    <xf numFmtId="178" fontId="36" fillId="13" borderId="17" xfId="0" applyNumberFormat="1" applyFont="1" applyFill="1" applyBorder="1"/>
    <xf numFmtId="0" fontId="15" fillId="13" borderId="22" xfId="0" applyFont="1" applyFill="1" applyBorder="1"/>
    <xf numFmtId="177" fontId="45" fillId="13" borderId="24" xfId="0" applyNumberFormat="1" applyFont="1" applyFill="1" applyBorder="1"/>
    <xf numFmtId="0" fontId="45" fillId="13" borderId="11" xfId="0" applyFont="1" applyFill="1" applyBorder="1"/>
    <xf numFmtId="43" fontId="36" fillId="13" borderId="17" xfId="0" applyNumberFormat="1" applyFont="1" applyFill="1" applyBorder="1"/>
    <xf numFmtId="0" fontId="36" fillId="13" borderId="22" xfId="0" applyFont="1" applyFill="1" applyBorder="1"/>
    <xf numFmtId="179" fontId="58" fillId="13" borderId="11" xfId="0" applyNumberFormat="1" applyFont="1" applyFill="1" applyBorder="1" applyAlignment="1">
      <alignment horizontal="right" vertical="center"/>
    </xf>
    <xf numFmtId="177" fontId="45" fillId="13" borderId="11" xfId="0" applyNumberFormat="1" applyFont="1" applyFill="1" applyBorder="1"/>
    <xf numFmtId="0" fontId="45" fillId="13" borderId="12" xfId="0" applyFont="1" applyFill="1" applyBorder="1"/>
    <xf numFmtId="0" fontId="36" fillId="13" borderId="21" xfId="0" applyFont="1" applyFill="1" applyBorder="1"/>
    <xf numFmtId="0" fontId="36" fillId="13" borderId="38" xfId="0" applyFont="1" applyFill="1" applyBorder="1"/>
    <xf numFmtId="0" fontId="15" fillId="13" borderId="38" xfId="0" applyFont="1" applyFill="1" applyBorder="1"/>
    <xf numFmtId="179" fontId="58" fillId="13" borderId="11" xfId="0" applyNumberFormat="1" applyFont="1" applyFill="1" applyBorder="1" applyAlignment="1">
      <alignment vertical="center"/>
    </xf>
    <xf numFmtId="177" fontId="46" fillId="13" borderId="13" xfId="0" applyNumberFormat="1" applyFont="1" applyFill="1" applyBorder="1"/>
    <xf numFmtId="0" fontId="58" fillId="13" borderId="30" xfId="0" applyFont="1" applyFill="1" applyBorder="1" applyAlignment="1">
      <alignment horizontal="right" vertical="center"/>
    </xf>
    <xf numFmtId="0" fontId="59" fillId="13" borderId="0" xfId="0" applyFont="1" applyFill="1" applyBorder="1" applyAlignment="1">
      <alignment vertical="center"/>
    </xf>
    <xf numFmtId="0" fontId="58" fillId="13" borderId="29" xfId="0" applyFont="1" applyFill="1" applyBorder="1" applyAlignment="1">
      <alignment horizontal="right" vertical="center"/>
    </xf>
    <xf numFmtId="0" fontId="59" fillId="13" borderId="1" xfId="0" applyFont="1" applyFill="1" applyBorder="1" applyAlignment="1">
      <alignment vertical="center"/>
    </xf>
    <xf numFmtId="10" fontId="58" fillId="13" borderId="0" xfId="2" applyNumberFormat="1" applyFont="1" applyFill="1" applyAlignment="1">
      <alignment vertical="center"/>
    </xf>
    <xf numFmtId="10" fontId="58" fillId="13" borderId="0" xfId="0" applyNumberFormat="1" applyFont="1" applyFill="1"/>
    <xf numFmtId="0" fontId="54" fillId="13" borderId="0" xfId="0" applyFont="1" applyFill="1"/>
    <xf numFmtId="174" fontId="58" fillId="13" borderId="0" xfId="0" applyNumberFormat="1" applyFont="1" applyFill="1"/>
    <xf numFmtId="0" fontId="58" fillId="13" borderId="0" xfId="0" applyFont="1" applyFill="1" applyAlignment="1">
      <alignment horizontal="right" vertical="center"/>
    </xf>
    <xf numFmtId="0" fontId="0" fillId="13" borderId="0" xfId="0" applyFont="1" applyFill="1"/>
    <xf numFmtId="10" fontId="58" fillId="11" borderId="11" xfId="0" applyNumberFormat="1" applyFont="1" applyFill="1" applyBorder="1" applyAlignment="1">
      <alignment vertical="center"/>
    </xf>
    <xf numFmtId="2" fontId="58" fillId="11" borderId="11" xfId="0" applyNumberFormat="1" applyFont="1" applyFill="1" applyBorder="1" applyAlignment="1">
      <alignment horizontal="center" vertical="center"/>
    </xf>
    <xf numFmtId="9" fontId="58" fillId="11" borderId="11" xfId="2" applyFont="1" applyFill="1" applyBorder="1" applyAlignment="1">
      <alignment horizontal="right" vertical="center"/>
    </xf>
    <xf numFmtId="167" fontId="58" fillId="11" borderId="11" xfId="0" applyNumberFormat="1" applyFont="1" applyFill="1" applyBorder="1" applyAlignment="1">
      <alignment horizontal="center" vertical="center"/>
    </xf>
    <xf numFmtId="2" fontId="15" fillId="12" borderId="39" xfId="1" applyNumberFormat="1" applyFont="1" applyFill="1" applyBorder="1" applyAlignment="1">
      <alignment horizontal="center"/>
    </xf>
    <xf numFmtId="2" fontId="15" fillId="12" borderId="62" xfId="1" applyNumberFormat="1" applyFont="1" applyFill="1" applyBorder="1" applyAlignment="1">
      <alignment horizontal="center"/>
    </xf>
    <xf numFmtId="10" fontId="15" fillId="11" borderId="0" xfId="1" applyNumberFormat="1" applyFont="1" applyFill="1" applyBorder="1" applyAlignment="1">
      <alignment horizontal="center" vertical="center"/>
    </xf>
    <xf numFmtId="10" fontId="15" fillId="11" borderId="19" xfId="2" applyNumberFormat="1" applyFont="1" applyFill="1" applyBorder="1" applyAlignment="1">
      <alignment horizontal="center" vertical="center"/>
    </xf>
    <xf numFmtId="43" fontId="58" fillId="11" borderId="11" xfId="1" applyNumberFormat="1" applyFont="1" applyFill="1" applyBorder="1" applyAlignment="1">
      <alignment vertical="center"/>
    </xf>
    <xf numFmtId="0" fontId="92" fillId="0" borderId="11" xfId="0" applyFont="1" applyFill="1" applyBorder="1" applyAlignment="1">
      <alignment horizontal="center" vertical="center"/>
    </xf>
    <xf numFmtId="10" fontId="15" fillId="0" borderId="46" xfId="0" applyNumberFormat="1" applyFont="1" applyBorder="1" applyAlignment="1">
      <alignment horizontal="center" vertical="center"/>
    </xf>
    <xf numFmtId="0" fontId="56" fillId="0" borderId="0" xfId="0" applyFont="1" applyBorder="1"/>
    <xf numFmtId="49" fontId="15" fillId="0" borderId="0" xfId="0" applyNumberFormat="1" applyFont="1" applyBorder="1"/>
    <xf numFmtId="10" fontId="92" fillId="0" borderId="11" xfId="0" applyNumberFormat="1" applyFont="1" applyBorder="1" applyAlignment="1">
      <alignment horizontal="center"/>
    </xf>
    <xf numFmtId="10" fontId="93" fillId="0" borderId="11" xfId="0" applyNumberFormat="1" applyFont="1" applyBorder="1" applyAlignment="1">
      <alignment horizontal="center"/>
    </xf>
    <xf numFmtId="0" fontId="32" fillId="13" borderId="15" xfId="0" applyFont="1" applyFill="1" applyBorder="1" applyAlignment="1">
      <alignment horizontal="left" vertical="center" wrapText="1"/>
    </xf>
    <xf numFmtId="0" fontId="32" fillId="13" borderId="25" xfId="0" applyFont="1" applyFill="1" applyBorder="1" applyAlignment="1">
      <alignment horizontal="left" vertical="center" wrapText="1"/>
    </xf>
    <xf numFmtId="0" fontId="32" fillId="13" borderId="36" xfId="0" applyFont="1" applyFill="1" applyBorder="1" applyAlignment="1">
      <alignment horizontal="left" vertical="center" wrapText="1"/>
    </xf>
    <xf numFmtId="0" fontId="32" fillId="0" borderId="15" xfId="0" applyFont="1" applyFill="1" applyBorder="1" applyAlignment="1">
      <alignment horizontal="left" vertical="center"/>
    </xf>
    <xf numFmtId="0" fontId="32" fillId="0" borderId="25" xfId="0" applyFont="1" applyFill="1" applyBorder="1" applyAlignment="1">
      <alignment horizontal="left" vertical="center"/>
    </xf>
    <xf numFmtId="0" fontId="32" fillId="0" borderId="36" xfId="0" applyFont="1" applyFill="1" applyBorder="1" applyAlignment="1">
      <alignment horizontal="left" vertical="center"/>
    </xf>
    <xf numFmtId="0" fontId="53" fillId="0" borderId="40" xfId="0" applyFont="1" applyBorder="1" applyAlignment="1">
      <alignment horizontal="left" vertical="distributed"/>
    </xf>
    <xf numFmtId="0" fontId="53" fillId="0" borderId="31" xfId="0" applyFont="1" applyBorder="1" applyAlignment="1">
      <alignment horizontal="left" vertical="distributed"/>
    </xf>
    <xf numFmtId="0" fontId="53" fillId="0" borderId="32" xfId="0" applyFont="1" applyBorder="1" applyAlignment="1">
      <alignment horizontal="left" vertical="distributed"/>
    </xf>
    <xf numFmtId="0" fontId="16" fillId="0" borderId="24" xfId="0" applyFont="1" applyBorder="1" applyAlignment="1">
      <alignment horizontal="left" vertical="distributed"/>
    </xf>
    <xf numFmtId="0" fontId="20" fillId="0" borderId="49"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3" xfId="0" applyFont="1" applyBorder="1" applyAlignment="1">
      <alignment horizontal="center" vertical="distributed"/>
    </xf>
    <xf numFmtId="0" fontId="20" fillId="0" borderId="22" xfId="0" applyFont="1" applyBorder="1" applyAlignment="1">
      <alignment horizontal="center" vertical="distributed"/>
    </xf>
    <xf numFmtId="0" fontId="20" fillId="0" borderId="0" xfId="0" applyFont="1" applyBorder="1" applyAlignment="1">
      <alignment horizontal="left" vertical="center"/>
    </xf>
    <xf numFmtId="0" fontId="20" fillId="0" borderId="3" xfId="0" applyFont="1" applyBorder="1" applyAlignment="1">
      <alignment horizontal="left" vertical="center" wrapText="1"/>
    </xf>
    <xf numFmtId="0" fontId="20" fillId="0" borderId="9" xfId="0" applyFont="1" applyBorder="1" applyAlignment="1">
      <alignment horizontal="left" vertical="center" wrapText="1"/>
    </xf>
    <xf numFmtId="43" fontId="20" fillId="0" borderId="50" xfId="1" applyFont="1" applyBorder="1" applyAlignment="1">
      <alignment horizontal="center" vertical="center" wrapText="1"/>
    </xf>
    <xf numFmtId="43" fontId="20" fillId="0" borderId="57" xfId="1" applyFont="1" applyBorder="1" applyAlignment="1">
      <alignment horizontal="center" vertical="center" wrapText="1"/>
    </xf>
    <xf numFmtId="0" fontId="32" fillId="0" borderId="15" xfId="0" applyFont="1" applyBorder="1" applyAlignment="1">
      <alignment horizontal="center" vertical="distributed"/>
    </xf>
    <xf numFmtId="0" fontId="32" fillId="0" borderId="25" xfId="0" applyFont="1" applyBorder="1" applyAlignment="1">
      <alignment horizontal="center" vertical="distributed"/>
    </xf>
    <xf numFmtId="0" fontId="32" fillId="0" borderId="36" xfId="0" applyFont="1" applyBorder="1" applyAlignment="1">
      <alignment horizontal="center" vertical="distributed"/>
    </xf>
    <xf numFmtId="0" fontId="32" fillId="0" borderId="15"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59" fillId="0" borderId="25"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20" fillId="0" borderId="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36" xfId="0" applyFont="1" applyBorder="1" applyAlignment="1">
      <alignment horizontal="center" vertical="center" wrapText="1"/>
    </xf>
    <xf numFmtId="0" fontId="55" fillId="0" borderId="15" xfId="0" applyFont="1" applyBorder="1" applyAlignment="1">
      <alignment horizontal="left" vertical="distributed"/>
    </xf>
    <xf numFmtId="0" fontId="55" fillId="0" borderId="25" xfId="0" applyFont="1" applyBorder="1" applyAlignment="1">
      <alignment horizontal="left" vertical="distributed"/>
    </xf>
    <xf numFmtId="0" fontId="55" fillId="0" borderId="36" xfId="0" applyFont="1" applyBorder="1" applyAlignment="1">
      <alignment horizontal="left" vertical="distributed"/>
    </xf>
    <xf numFmtId="0" fontId="16" fillId="0" borderId="24" xfId="0" applyFont="1" applyBorder="1" applyAlignment="1">
      <alignment horizontal="left" vertical="center" wrapText="1"/>
    </xf>
    <xf numFmtId="0" fontId="58" fillId="0" borderId="0" xfId="0" applyFont="1" applyAlignment="1">
      <alignment horizontal="left" vertical="center" wrapText="1"/>
    </xf>
    <xf numFmtId="0" fontId="32" fillId="0" borderId="58" xfId="0" applyFont="1" applyFill="1" applyBorder="1" applyAlignment="1">
      <alignment horizontal="left" vertical="center"/>
    </xf>
    <xf numFmtId="0" fontId="32" fillId="0" borderId="55" xfId="0" applyFont="1" applyFill="1" applyBorder="1" applyAlignment="1">
      <alignment horizontal="left" vertical="center"/>
    </xf>
    <xf numFmtId="0" fontId="32" fillId="0" borderId="54" xfId="0" applyFont="1" applyFill="1" applyBorder="1" applyAlignment="1">
      <alignment horizontal="left" vertical="center"/>
    </xf>
    <xf numFmtId="0" fontId="16" fillId="0" borderId="2" xfId="0" applyFont="1" applyBorder="1" applyAlignment="1">
      <alignment horizontal="left" vertical="distributed"/>
    </xf>
    <xf numFmtId="0" fontId="16" fillId="0" borderId="14" xfId="0" applyFont="1" applyBorder="1" applyAlignment="1">
      <alignment horizontal="left" vertical="distributed"/>
    </xf>
    <xf numFmtId="0" fontId="16" fillId="0" borderId="4" xfId="0" applyFont="1" applyBorder="1" applyAlignment="1">
      <alignment horizontal="left" vertical="distributed"/>
    </xf>
    <xf numFmtId="0" fontId="16" fillId="0" borderId="8" xfId="0" applyFont="1" applyBorder="1" applyAlignment="1">
      <alignment horizontal="left" vertical="distributed"/>
    </xf>
    <xf numFmtId="0" fontId="16" fillId="0" borderId="1" xfId="0" applyFont="1" applyBorder="1" applyAlignment="1">
      <alignment horizontal="left" vertical="distributed"/>
    </xf>
    <xf numFmtId="0" fontId="16" fillId="0" borderId="10" xfId="0" applyFont="1" applyBorder="1" applyAlignment="1">
      <alignment horizontal="left" vertical="distributed"/>
    </xf>
    <xf numFmtId="0" fontId="85" fillId="0" borderId="20" xfId="0" applyFont="1" applyBorder="1" applyAlignment="1">
      <alignment horizontal="left" vertical="center" wrapText="1"/>
    </xf>
    <xf numFmtId="0" fontId="85" fillId="0" borderId="0" xfId="0" applyFont="1" applyAlignment="1">
      <alignment horizontal="left" vertical="center" wrapText="1"/>
    </xf>
    <xf numFmtId="0" fontId="87" fillId="0" borderId="20" xfId="0" applyFont="1" applyBorder="1" applyAlignment="1">
      <alignment horizontal="left" vertical="center" wrapText="1"/>
    </xf>
    <xf numFmtId="0" fontId="87" fillId="0" borderId="0" xfId="0" applyFont="1" applyAlignment="1">
      <alignment horizontal="left" vertical="center" wrapText="1"/>
    </xf>
    <xf numFmtId="0" fontId="58" fillId="0" borderId="0" xfId="0" applyFont="1" applyAlignment="1">
      <alignment horizontal="left" vertical="distributed"/>
    </xf>
    <xf numFmtId="0" fontId="56" fillId="13" borderId="40" xfId="0" applyFont="1" applyFill="1" applyBorder="1" applyAlignment="1">
      <alignment horizontal="left" vertical="distributed"/>
    </xf>
    <xf numFmtId="0" fontId="56" fillId="13" borderId="31" xfId="0" applyFont="1" applyFill="1" applyBorder="1" applyAlignment="1">
      <alignment horizontal="left" vertical="distributed"/>
    </xf>
    <xf numFmtId="0" fontId="56" fillId="13" borderId="32" xfId="0" applyFont="1" applyFill="1" applyBorder="1" applyAlignment="1">
      <alignment horizontal="left" vertical="distributed"/>
    </xf>
    <xf numFmtId="0" fontId="16" fillId="13" borderId="24" xfId="0" applyFont="1" applyFill="1" applyBorder="1" applyAlignment="1">
      <alignment horizontal="left" vertical="center" wrapText="1"/>
    </xf>
    <xf numFmtId="0" fontId="59" fillId="13" borderId="15" xfId="0" applyFont="1" applyFill="1" applyBorder="1" applyAlignment="1">
      <alignment horizontal="left" vertical="center" wrapText="1"/>
    </xf>
    <xf numFmtId="0" fontId="59" fillId="13" borderId="25" xfId="0" applyFont="1" applyFill="1" applyBorder="1" applyAlignment="1">
      <alignment horizontal="left" vertical="center" wrapText="1"/>
    </xf>
    <xf numFmtId="0" fontId="59" fillId="13" borderId="36" xfId="0" applyFont="1" applyFill="1" applyBorder="1" applyAlignment="1">
      <alignment horizontal="left" vertical="center" wrapText="1"/>
    </xf>
    <xf numFmtId="0" fontId="48" fillId="0" borderId="15" xfId="0" applyFont="1" applyBorder="1" applyAlignment="1">
      <alignment horizontal="center" wrapText="1"/>
    </xf>
    <xf numFmtId="0" fontId="48" fillId="0" borderId="36" xfId="0" applyFont="1" applyBorder="1" applyAlignment="1">
      <alignment horizontal="center" wrapText="1"/>
    </xf>
    <xf numFmtId="0" fontId="48" fillId="0" borderId="53" xfId="0" applyFont="1" applyBorder="1" applyAlignment="1">
      <alignment horizontal="center"/>
    </xf>
    <xf numFmtId="0" fontId="48" fillId="0" borderId="9" xfId="0" applyFont="1" applyBorder="1" applyAlignment="1">
      <alignment horizontal="center"/>
    </xf>
    <xf numFmtId="0" fontId="49" fillId="0" borderId="40" xfId="0" applyFont="1" applyBorder="1" applyAlignment="1">
      <alignment horizontal="left" vertical="distributed"/>
    </xf>
    <xf numFmtId="0" fontId="49" fillId="0" borderId="31" xfId="0" applyFont="1" applyBorder="1" applyAlignment="1">
      <alignment horizontal="left" vertical="distributed"/>
    </xf>
    <xf numFmtId="0" fontId="49" fillId="0" borderId="32" xfId="0" applyFont="1" applyBorder="1" applyAlignment="1">
      <alignment horizontal="left" vertical="distributed"/>
    </xf>
    <xf numFmtId="0" fontId="49" fillId="0" borderId="41" xfId="0" applyFont="1" applyBorder="1" applyAlignment="1">
      <alignment horizontal="center"/>
    </xf>
    <xf numFmtId="0" fontId="49" fillId="0" borderId="42" xfId="0" applyFont="1" applyBorder="1" applyAlignment="1">
      <alignment horizontal="center"/>
    </xf>
    <xf numFmtId="0" fontId="49" fillId="0" borderId="51" xfId="0" applyFont="1" applyBorder="1" applyAlignment="1">
      <alignment horizontal="left" vertical="distributed"/>
    </xf>
    <xf numFmtId="0" fontId="49" fillId="0" borderId="43" xfId="0" applyFont="1" applyBorder="1" applyAlignment="1">
      <alignment horizontal="left" vertical="distributed"/>
    </xf>
    <xf numFmtId="0" fontId="49" fillId="0" borderId="52" xfId="0" applyFont="1" applyBorder="1" applyAlignment="1">
      <alignment horizontal="center" vertical="distributed"/>
    </xf>
    <xf numFmtId="0" fontId="49" fillId="0" borderId="47" xfId="0" applyFont="1" applyBorder="1" applyAlignment="1">
      <alignment horizontal="center" vertical="distributed"/>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FF99"/>
      <color rgb="FFCCFFFF"/>
      <color rgb="FF008000"/>
      <color rgb="FF0000FF"/>
      <color rgb="FF993300"/>
      <color rgb="FFFF0066"/>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3806-4F5B-AF9C-CF233A2A2612}"/>
            </c:ext>
          </c:extLst>
        </c:ser>
        <c:dLbls>
          <c:showLegendKey val="0"/>
          <c:showVal val="0"/>
          <c:showCatName val="0"/>
          <c:showSerName val="0"/>
          <c:showPercent val="0"/>
          <c:showBubbleSize val="0"/>
        </c:dLbls>
        <c:marker val="1"/>
        <c:smooth val="0"/>
        <c:axId val="2101365552"/>
        <c:axId val="1"/>
      </c:lineChart>
      <c:catAx>
        <c:axId val="210136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555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B602-4E39-B32D-34499DA47E8A}"/>
            </c:ext>
          </c:extLst>
        </c:ser>
        <c:dLbls>
          <c:showLegendKey val="0"/>
          <c:showVal val="0"/>
          <c:showCatName val="0"/>
          <c:showSerName val="0"/>
          <c:showPercent val="0"/>
          <c:showBubbleSize val="0"/>
        </c:dLbls>
        <c:marker val="1"/>
        <c:smooth val="0"/>
        <c:axId val="2101366800"/>
        <c:axId val="1"/>
      </c:lineChart>
      <c:catAx>
        <c:axId val="210136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680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A115-40ED-B162-756C1D16C97E}"/>
            </c:ext>
          </c:extLst>
        </c:ser>
        <c:dLbls>
          <c:showLegendKey val="0"/>
          <c:showVal val="0"/>
          <c:showCatName val="0"/>
          <c:showSerName val="0"/>
          <c:showPercent val="0"/>
          <c:showBubbleSize val="0"/>
        </c:dLbls>
        <c:marker val="1"/>
        <c:smooth val="0"/>
        <c:axId val="2101359728"/>
        <c:axId val="1"/>
      </c:lineChart>
      <c:catAx>
        <c:axId val="210135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597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3C51-4EE2-B66A-7D6ADB957D81}"/>
            </c:ext>
          </c:extLst>
        </c:ser>
        <c:dLbls>
          <c:showLegendKey val="0"/>
          <c:showVal val="0"/>
          <c:showCatName val="0"/>
          <c:showSerName val="0"/>
          <c:showPercent val="0"/>
          <c:showBubbleSize val="0"/>
        </c:dLbls>
        <c:marker val="1"/>
        <c:smooth val="0"/>
        <c:axId val="2101360144"/>
        <c:axId val="1"/>
      </c:lineChart>
      <c:catAx>
        <c:axId val="2101360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01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Trebuchet MS"/>
                <a:ea typeface="Trebuchet MS"/>
                <a:cs typeface="Trebuchet MS"/>
              </a:defRPr>
            </a:pPr>
            <a:r>
              <a:rPr lang="es-ES"/>
              <a:t>El NND (IC95%) es el Nº de pacientes que hay que tratar con el Mto de Intervención para perjudicar a "1" más que si se trata con Placebo. En el resto de pacientes el Mto de Intervención y el Placebo tienen un comportamiento similar.</a:t>
            </a:r>
          </a:p>
        </c:rich>
      </c:tx>
      <c:overlay val="0"/>
      <c:spPr>
        <a:noFill/>
        <a:ln w="25400">
          <a:noFill/>
        </a:ln>
      </c:spPr>
    </c:title>
    <c:autoTitleDeleted val="0"/>
    <c:plotArea>
      <c:layout/>
      <c:barChart>
        <c:barDir val="col"/>
        <c:grouping val="stacked"/>
        <c:varyColors val="0"/>
        <c:ser>
          <c:idx val="0"/>
          <c:order val="0"/>
          <c:tx>
            <c:v>Permanecerán sanos sin tomar el Mto de Intervención</c:v>
          </c:tx>
          <c:spPr>
            <a:solidFill>
              <a:srgbClr val="00FF00"/>
            </a:solidFill>
            <a:ln w="3175">
              <a:solidFill>
                <a:srgbClr val="000000"/>
              </a:solidFill>
              <a:prstDash val="solid"/>
            </a:ln>
          </c:spPr>
          <c:invertIfNegative val="0"/>
          <c:dLbls>
            <c:dLbl>
              <c:idx val="0"/>
              <c:spPr>
                <a:solidFill>
                  <a:srgbClr val="00FF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58-4BDB-ACC8-93C6DB3FD1EC}"/>
                </c:ext>
              </c:extLst>
            </c:dLbl>
            <c:dLbl>
              <c:idx val="1"/>
              <c:spPr>
                <a:solidFill>
                  <a:srgbClr val="00FF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58-4BDB-ACC8-93C6DB3FD1EC}"/>
                </c:ext>
              </c:extLst>
            </c:dLbl>
            <c:dLbl>
              <c:idx val="2"/>
              <c:spPr>
                <a:solidFill>
                  <a:srgbClr val="00FF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58-4BDB-ACC8-93C6DB3FD1EC}"/>
                </c:ext>
              </c:extLst>
            </c:dLbl>
            <c:spPr>
              <a:solidFill>
                <a:srgbClr val="00FF00"/>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75" b="1" i="0" u="none" strike="noStrike" baseline="0">
                    <a:solidFill>
                      <a:srgbClr val="000000"/>
                    </a:solidFill>
                    <a:latin typeface="Trebuchet MS"/>
                    <a:ea typeface="Trebuchet MS"/>
                    <a:cs typeface="Trebuchet M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'Inc Acumul'!$I$34:$K$34</c:f>
            </c:numRef>
          </c:val>
          <c:extLst>
            <c:ext xmlns:c16="http://schemas.microsoft.com/office/drawing/2014/chart" uri="{C3380CC4-5D6E-409C-BE32-E72D297353CC}">
              <c16:uniqueId val="{00000003-3C58-4BDB-ACC8-93C6DB3FD1EC}"/>
            </c:ext>
          </c:extLst>
        </c:ser>
        <c:ser>
          <c:idx val="1"/>
          <c:order val="1"/>
          <c:tx>
            <c:v>Enfermarán por tomar el Mto de Intervención</c:v>
          </c:tx>
          <c:spPr>
            <a:solidFill>
              <a:srgbClr val="FF99CC"/>
            </a:solidFill>
            <a:ln w="3175">
              <a:solidFill>
                <a:srgbClr val="000000"/>
              </a:solidFill>
              <a:prstDash val="solid"/>
            </a:ln>
          </c:spPr>
          <c:invertIfNegative val="0"/>
          <c:dLbls>
            <c:dLbl>
              <c:idx val="0"/>
              <c:spPr>
                <a:solidFill>
                  <a:srgbClr val="FF99CC"/>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58-4BDB-ACC8-93C6DB3FD1EC}"/>
                </c:ext>
              </c:extLst>
            </c:dLbl>
            <c:dLbl>
              <c:idx val="1"/>
              <c:spPr>
                <a:solidFill>
                  <a:srgbClr val="FF99CC"/>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58-4BDB-ACC8-93C6DB3FD1EC}"/>
                </c:ext>
              </c:extLst>
            </c:dLbl>
            <c:dLbl>
              <c:idx val="2"/>
              <c:spPr>
                <a:solidFill>
                  <a:srgbClr val="FF99CC"/>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58-4BDB-ACC8-93C6DB3FD1EC}"/>
                </c:ext>
              </c:extLst>
            </c:dLbl>
            <c:spPr>
              <a:solidFill>
                <a:srgbClr val="FF99CC"/>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75" b="1" i="0" u="none" strike="noStrike" baseline="0">
                    <a:solidFill>
                      <a:srgbClr val="000000"/>
                    </a:solidFill>
                    <a:latin typeface="Trebuchet MS"/>
                    <a:ea typeface="Trebuchet MS"/>
                    <a:cs typeface="Trebuchet M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'Inc Acumul'!$I$35:$K$35</c:f>
            </c:numRef>
          </c:val>
          <c:extLst>
            <c:ext xmlns:c16="http://schemas.microsoft.com/office/drawing/2014/chart" uri="{C3380CC4-5D6E-409C-BE32-E72D297353CC}">
              <c16:uniqueId val="{00000007-3C58-4BDB-ACC8-93C6DB3FD1EC}"/>
            </c:ext>
          </c:extLst>
        </c:ser>
        <c:ser>
          <c:idx val="2"/>
          <c:order val="2"/>
          <c:tx>
            <c:v>Enfermarán incluso sin tomar el Mto de Intervención</c:v>
          </c:tx>
          <c:spPr>
            <a:solidFill>
              <a:srgbClr val="FF0000"/>
            </a:solidFill>
            <a:ln w="3175">
              <a:solidFill>
                <a:srgbClr val="000000"/>
              </a:solidFill>
              <a:prstDash val="solid"/>
            </a:ln>
          </c:spPr>
          <c:invertIfNegative val="0"/>
          <c:dLbls>
            <c:dLbl>
              <c:idx val="0"/>
              <c:spPr>
                <a:solidFill>
                  <a:srgbClr val="FF00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C58-4BDB-ACC8-93C6DB3FD1EC}"/>
                </c:ext>
              </c:extLst>
            </c:dLbl>
            <c:dLbl>
              <c:idx val="1"/>
              <c:spPr>
                <a:solidFill>
                  <a:srgbClr val="FF00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C58-4BDB-ACC8-93C6DB3FD1EC}"/>
                </c:ext>
              </c:extLst>
            </c:dLbl>
            <c:dLbl>
              <c:idx val="2"/>
              <c:spPr>
                <a:solidFill>
                  <a:srgbClr val="FF0000"/>
                </a:solidFill>
                <a:ln w="3175">
                  <a:solidFill>
                    <a:srgbClr val="000000"/>
                  </a:solidFill>
                  <a:prstDash val="solid"/>
                </a:ln>
                <a:effectLst>
                  <a:outerShdw dist="35921" dir="2700000" algn="br">
                    <a:srgbClr val="000000"/>
                  </a:outerShdw>
                </a:effectLst>
              </c:spPr>
              <c:txPr>
                <a:bodyPr/>
                <a:lstStyle/>
                <a:p>
                  <a:pPr>
                    <a:defRPr sz="175" b="1" i="0" u="none" strike="noStrike" baseline="0">
                      <a:solidFill>
                        <a:srgbClr val="000000"/>
                      </a:solidFill>
                      <a:latin typeface="Trebuchet MS"/>
                      <a:ea typeface="Trebuchet MS"/>
                      <a:cs typeface="Trebuchet MS"/>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C58-4BDB-ACC8-93C6DB3FD1EC}"/>
                </c:ext>
              </c:extLst>
            </c:dLbl>
            <c:spPr>
              <a:solidFill>
                <a:srgbClr val="FF0000"/>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175" b="1" i="0" u="none" strike="noStrike" baseline="0">
                    <a:solidFill>
                      <a:srgbClr val="000000"/>
                    </a:solidFill>
                    <a:latin typeface="Trebuchet MS"/>
                    <a:ea typeface="Trebuchet MS"/>
                    <a:cs typeface="Trebuchet M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'Inc Acumul'!$I$36:$K$36</c:f>
            </c:numRef>
          </c:val>
          <c:extLst>
            <c:ext xmlns:c16="http://schemas.microsoft.com/office/drawing/2014/chart" uri="{C3380CC4-5D6E-409C-BE32-E72D297353CC}">
              <c16:uniqueId val="{0000000B-3C58-4BDB-ACC8-93C6DB3FD1EC}"/>
            </c:ext>
          </c:extLst>
        </c:ser>
        <c:dLbls>
          <c:showLegendKey val="0"/>
          <c:showVal val="0"/>
          <c:showCatName val="0"/>
          <c:showSerName val="0"/>
          <c:showPercent val="0"/>
          <c:showBubbleSize val="0"/>
        </c:dLbls>
        <c:gapWidth val="150"/>
        <c:overlap val="100"/>
        <c:axId val="2101360976"/>
        <c:axId val="1"/>
      </c:barChart>
      <c:catAx>
        <c:axId val="2101360976"/>
        <c:scaling>
          <c:orientation val="minMax"/>
        </c:scaling>
        <c:delete val="0"/>
        <c:axPos val="b"/>
        <c:title>
          <c:tx>
            <c:rich>
              <a:bodyPr/>
              <a:lstStyle/>
              <a:p>
                <a:pPr>
                  <a:defRPr sz="100" b="1" i="0" u="none" strike="noStrike" baseline="0">
                    <a:solidFill>
                      <a:srgbClr val="000000"/>
                    </a:solidFill>
                    <a:latin typeface="Trebuchet MS"/>
                    <a:ea typeface="Trebuchet MS"/>
                    <a:cs typeface="Trebuchet MS"/>
                  </a:defRPr>
                </a:pPr>
                <a:r>
                  <a:rPr lang="es-ES"/>
                  <a:t>NND: el 1 es la estimación puntual, el 2 y el 3 son los extremos del IC 95%</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5" b="1" i="0" u="none" strike="noStrike" baseline="0">
                <a:solidFill>
                  <a:srgbClr val="000000"/>
                </a:solidFill>
                <a:latin typeface="Trebuchet MS"/>
                <a:ea typeface="Trebuchet MS"/>
                <a:cs typeface="Trebuchet MS"/>
              </a:defRPr>
            </a:pPr>
            <a:endParaRPr lang="es-ES"/>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5" b="1" i="0" u="none" strike="noStrike" baseline="0">
                    <a:solidFill>
                      <a:srgbClr val="000000"/>
                    </a:solidFill>
                    <a:latin typeface="Arial"/>
                    <a:ea typeface="Arial"/>
                    <a:cs typeface="Arial"/>
                  </a:defRPr>
                </a:pPr>
                <a:r>
                  <a:rPr lang="es-ES"/>
                  <a:t>Nº de pacientes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5" b="1" i="0" u="none" strike="noStrike" baseline="0">
                <a:solidFill>
                  <a:srgbClr val="000000"/>
                </a:solidFill>
                <a:latin typeface="Trebuchet MS"/>
                <a:ea typeface="Trebuchet MS"/>
                <a:cs typeface="Trebuchet MS"/>
              </a:defRPr>
            </a:pPr>
            <a:endParaRPr lang="es-ES"/>
          </a:p>
        </c:txPr>
        <c:crossAx val="210136097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1" i="0" u="none" strike="noStrike" baseline="0">
              <a:solidFill>
                <a:srgbClr val="000000"/>
              </a:solidFill>
              <a:latin typeface="Trebuchet MS"/>
              <a:ea typeface="Trebuchet MS"/>
              <a:cs typeface="Trebuchet MS"/>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0</xdr:col>
      <xdr:colOff>0</xdr:colOff>
      <xdr:row>42</xdr:row>
      <xdr:rowOff>38100</xdr:rowOff>
    </xdr:to>
    <xdr:graphicFrame macro="">
      <xdr:nvGraphicFramePr>
        <xdr:cNvPr id="1590" name="Gráfico 10">
          <a:extLst>
            <a:ext uri="{FF2B5EF4-FFF2-40B4-BE49-F238E27FC236}">
              <a16:creationId xmlns:a16="http://schemas.microsoft.com/office/drawing/2014/main" id="{A65AC891-D1C9-43FB-9808-A52C8E566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0</xdr:col>
      <xdr:colOff>0</xdr:colOff>
      <xdr:row>49</xdr:row>
      <xdr:rowOff>0</xdr:rowOff>
    </xdr:to>
    <xdr:graphicFrame macro="">
      <xdr:nvGraphicFramePr>
        <xdr:cNvPr id="1591" name="Gráfico 11">
          <a:extLst>
            <a:ext uri="{FF2B5EF4-FFF2-40B4-BE49-F238E27FC236}">
              <a16:creationId xmlns:a16="http://schemas.microsoft.com/office/drawing/2014/main" id="{AA57A113-58A5-4E94-BDE8-AEAF8A4C8B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0</xdr:rowOff>
    </xdr:from>
    <xdr:to>
      <xdr:col>0</xdr:col>
      <xdr:colOff>0</xdr:colOff>
      <xdr:row>49</xdr:row>
      <xdr:rowOff>0</xdr:rowOff>
    </xdr:to>
    <xdr:graphicFrame macro="">
      <xdr:nvGraphicFramePr>
        <xdr:cNvPr id="1592" name="Gráfico 12">
          <a:extLst>
            <a:ext uri="{FF2B5EF4-FFF2-40B4-BE49-F238E27FC236}">
              <a16:creationId xmlns:a16="http://schemas.microsoft.com/office/drawing/2014/main" id="{1FE8F15B-BF78-4A40-AA0A-D79F66512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35</xdr:row>
      <xdr:rowOff>0</xdr:rowOff>
    </xdr:from>
    <xdr:to>
      <xdr:col>0</xdr:col>
      <xdr:colOff>0</xdr:colOff>
      <xdr:row>42</xdr:row>
      <xdr:rowOff>28575</xdr:rowOff>
    </xdr:to>
    <xdr:graphicFrame macro="">
      <xdr:nvGraphicFramePr>
        <xdr:cNvPr id="1593" name="Gráfico 13">
          <a:extLst>
            <a:ext uri="{FF2B5EF4-FFF2-40B4-BE49-F238E27FC236}">
              <a16:creationId xmlns:a16="http://schemas.microsoft.com/office/drawing/2014/main" id="{C29DCF90-53A0-4DFA-9B4C-C76C012EA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257175</xdr:colOff>
      <xdr:row>26</xdr:row>
      <xdr:rowOff>76200</xdr:rowOff>
    </xdr:from>
    <xdr:to>
      <xdr:col>29</xdr:col>
      <xdr:colOff>695325</xdr:colOff>
      <xdr:row>51</xdr:row>
      <xdr:rowOff>0</xdr:rowOff>
    </xdr:to>
    <xdr:graphicFrame macro="">
      <xdr:nvGraphicFramePr>
        <xdr:cNvPr id="1594" name="Gráfico 88">
          <a:extLst>
            <a:ext uri="{FF2B5EF4-FFF2-40B4-BE49-F238E27FC236}">
              <a16:creationId xmlns:a16="http://schemas.microsoft.com/office/drawing/2014/main" id="{F3BAF80F-DC88-43D5-876D-001F15DF3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4</xdr:row>
      <xdr:rowOff>104775</xdr:rowOff>
    </xdr:from>
    <xdr:to>
      <xdr:col>3</xdr:col>
      <xdr:colOff>428625</xdr:colOff>
      <xdr:row>4</xdr:row>
      <xdr:rowOff>104775</xdr:rowOff>
    </xdr:to>
    <xdr:sp macro="" textlink="">
      <xdr:nvSpPr>
        <xdr:cNvPr id="2" name="Line 48">
          <a:extLst>
            <a:ext uri="{FF2B5EF4-FFF2-40B4-BE49-F238E27FC236}">
              <a16:creationId xmlns:a16="http://schemas.microsoft.com/office/drawing/2014/main" id="{3666BF94-565F-4B33-BB18-A246593CFD11}"/>
            </a:ext>
          </a:extLst>
        </xdr:cNvPr>
        <xdr:cNvSpPr>
          <a:spLocks noChangeShapeType="1"/>
        </xdr:cNvSpPr>
      </xdr:nvSpPr>
      <xdr:spPr bwMode="auto">
        <a:xfrm>
          <a:off x="3057525" y="9715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33</xdr:row>
      <xdr:rowOff>228600</xdr:rowOff>
    </xdr:from>
    <xdr:to>
      <xdr:col>3</xdr:col>
      <xdr:colOff>619125</xdr:colOff>
      <xdr:row>40</xdr:row>
      <xdr:rowOff>19050</xdr:rowOff>
    </xdr:to>
    <xdr:cxnSp macro="">
      <xdr:nvCxnSpPr>
        <xdr:cNvPr id="3" name="Conector recto de flecha 2">
          <a:extLst>
            <a:ext uri="{FF2B5EF4-FFF2-40B4-BE49-F238E27FC236}">
              <a16:creationId xmlns:a16="http://schemas.microsoft.com/office/drawing/2014/main" id="{3D777E68-07C8-42DA-8120-4D4432E71343}"/>
            </a:ext>
          </a:extLst>
        </xdr:cNvPr>
        <xdr:cNvCxnSpPr/>
      </xdr:nvCxnSpPr>
      <xdr:spPr>
        <a:xfrm>
          <a:off x="3543300" y="2800350"/>
          <a:ext cx="9525" cy="1847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657225</xdr:colOff>
      <xdr:row>4</xdr:row>
      <xdr:rowOff>190500</xdr:rowOff>
    </xdr:from>
    <xdr:to>
      <xdr:col>3</xdr:col>
      <xdr:colOff>571500</xdr:colOff>
      <xdr:row>33</xdr:row>
      <xdr:rowOff>28575</xdr:rowOff>
    </xdr:to>
    <xdr:cxnSp macro="">
      <xdr:nvCxnSpPr>
        <xdr:cNvPr id="9" name="Conector recto de flecha 8">
          <a:extLst>
            <a:ext uri="{FF2B5EF4-FFF2-40B4-BE49-F238E27FC236}">
              <a16:creationId xmlns:a16="http://schemas.microsoft.com/office/drawing/2014/main" id="{622C72B9-5BBE-4AA4-B5D7-CD48B259FC0C}"/>
            </a:ext>
          </a:extLst>
        </xdr:cNvPr>
        <xdr:cNvCxnSpPr/>
      </xdr:nvCxnSpPr>
      <xdr:spPr>
        <a:xfrm>
          <a:off x="2676525" y="1343025"/>
          <a:ext cx="828675" cy="1257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42</xdr:row>
      <xdr:rowOff>161599</xdr:rowOff>
    </xdr:from>
    <xdr:to>
      <xdr:col>10</xdr:col>
      <xdr:colOff>146816</xdr:colOff>
      <xdr:row>43</xdr:row>
      <xdr:rowOff>123825</xdr:rowOff>
    </xdr:to>
    <xdr:cxnSp macro="">
      <xdr:nvCxnSpPr>
        <xdr:cNvPr id="5" name="Conector recto de flecha 4"/>
        <xdr:cNvCxnSpPr/>
      </xdr:nvCxnSpPr>
      <xdr:spPr>
        <a:xfrm flipV="1">
          <a:off x="4410075" y="5228899"/>
          <a:ext cx="6461891" cy="152726"/>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819150</xdr:colOff>
      <xdr:row>43</xdr:row>
      <xdr:rowOff>152726</xdr:rowOff>
    </xdr:from>
    <xdr:to>
      <xdr:col>9</xdr:col>
      <xdr:colOff>38100</xdr:colOff>
      <xdr:row>45</xdr:row>
      <xdr:rowOff>171450</xdr:rowOff>
    </xdr:to>
    <xdr:cxnSp macro="">
      <xdr:nvCxnSpPr>
        <xdr:cNvPr id="7" name="Conector recto de flecha 6"/>
        <xdr:cNvCxnSpPr/>
      </xdr:nvCxnSpPr>
      <xdr:spPr>
        <a:xfrm>
          <a:off x="3752850" y="5381951"/>
          <a:ext cx="6067425" cy="571174"/>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628650</xdr:colOff>
      <xdr:row>43</xdr:row>
      <xdr:rowOff>247650</xdr:rowOff>
    </xdr:from>
    <xdr:to>
      <xdr:col>9</xdr:col>
      <xdr:colOff>638176</xdr:colOff>
      <xdr:row>45</xdr:row>
      <xdr:rowOff>85725</xdr:rowOff>
    </xdr:to>
    <xdr:cxnSp macro="">
      <xdr:nvCxnSpPr>
        <xdr:cNvPr id="10" name="Conector recto de flecha 9"/>
        <xdr:cNvCxnSpPr/>
      </xdr:nvCxnSpPr>
      <xdr:spPr>
        <a:xfrm>
          <a:off x="10410825" y="5476875"/>
          <a:ext cx="9526" cy="390525"/>
        </a:xfrm>
        <a:prstGeom prst="straightConnector1">
          <a:avLst/>
        </a:prstGeom>
        <a:ln>
          <a:solidFill>
            <a:srgbClr val="FF006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561975</xdr:colOff>
      <xdr:row>14</xdr:row>
      <xdr:rowOff>9525</xdr:rowOff>
    </xdr:from>
    <xdr:to>
      <xdr:col>12</xdr:col>
      <xdr:colOff>771525</xdr:colOff>
      <xdr:row>17</xdr:row>
      <xdr:rowOff>57150</xdr:rowOff>
    </xdr:to>
    <xdr:sp macro="" textlink="">
      <xdr:nvSpPr>
        <xdr:cNvPr id="2" name="Line 5">
          <a:extLst>
            <a:ext uri="{FF2B5EF4-FFF2-40B4-BE49-F238E27FC236}">
              <a16:creationId xmlns:a16="http://schemas.microsoft.com/office/drawing/2014/main" id="{B685D16D-FDE1-4418-A5E5-CB698DCAB18C}"/>
            </a:ext>
          </a:extLst>
        </xdr:cNvPr>
        <xdr:cNvSpPr>
          <a:spLocks noChangeShapeType="1"/>
        </xdr:cNvSpPr>
      </xdr:nvSpPr>
      <xdr:spPr bwMode="auto">
        <a:xfrm>
          <a:off x="14716125" y="188595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847725</xdr:colOff>
      <xdr:row>14</xdr:row>
      <xdr:rowOff>161925</xdr:rowOff>
    </xdr:from>
    <xdr:to>
      <xdr:col>13</xdr:col>
      <xdr:colOff>381000</xdr:colOff>
      <xdr:row>19</xdr:row>
      <xdr:rowOff>28575</xdr:rowOff>
    </xdr:to>
    <xdr:sp macro="" textlink="">
      <xdr:nvSpPr>
        <xdr:cNvPr id="3" name="Line 6">
          <a:extLst>
            <a:ext uri="{FF2B5EF4-FFF2-40B4-BE49-F238E27FC236}">
              <a16:creationId xmlns:a16="http://schemas.microsoft.com/office/drawing/2014/main" id="{0B9D81B3-9210-401F-B19F-1999664BE6C0}"/>
            </a:ext>
          </a:extLst>
        </xdr:cNvPr>
        <xdr:cNvSpPr>
          <a:spLocks noChangeShapeType="1"/>
        </xdr:cNvSpPr>
      </xdr:nvSpPr>
      <xdr:spPr bwMode="auto">
        <a:xfrm flipH="1">
          <a:off x="15001875" y="1885950"/>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561975</xdr:colOff>
      <xdr:row>14</xdr:row>
      <xdr:rowOff>9525</xdr:rowOff>
    </xdr:from>
    <xdr:to>
      <xdr:col>12</xdr:col>
      <xdr:colOff>771525</xdr:colOff>
      <xdr:row>17</xdr:row>
      <xdr:rowOff>57150</xdr:rowOff>
    </xdr:to>
    <xdr:sp macro="" textlink="">
      <xdr:nvSpPr>
        <xdr:cNvPr id="4" name="Line 5">
          <a:extLst>
            <a:ext uri="{FF2B5EF4-FFF2-40B4-BE49-F238E27FC236}">
              <a16:creationId xmlns:a16="http://schemas.microsoft.com/office/drawing/2014/main" id="{AB4621B0-AB19-4908-B99F-1CB8618CFB61}"/>
            </a:ext>
          </a:extLst>
        </xdr:cNvPr>
        <xdr:cNvSpPr>
          <a:spLocks noChangeShapeType="1"/>
        </xdr:cNvSpPr>
      </xdr:nvSpPr>
      <xdr:spPr bwMode="auto">
        <a:xfrm>
          <a:off x="14716125" y="188595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847725</xdr:colOff>
      <xdr:row>14</xdr:row>
      <xdr:rowOff>161925</xdr:rowOff>
    </xdr:from>
    <xdr:to>
      <xdr:col>13</xdr:col>
      <xdr:colOff>381000</xdr:colOff>
      <xdr:row>19</xdr:row>
      <xdr:rowOff>28575</xdr:rowOff>
    </xdr:to>
    <xdr:sp macro="" textlink="">
      <xdr:nvSpPr>
        <xdr:cNvPr id="5" name="Line 6">
          <a:extLst>
            <a:ext uri="{FF2B5EF4-FFF2-40B4-BE49-F238E27FC236}">
              <a16:creationId xmlns:a16="http://schemas.microsoft.com/office/drawing/2014/main" id="{7D0276FF-036D-472F-9F55-0B707DE34330}"/>
            </a:ext>
          </a:extLst>
        </xdr:cNvPr>
        <xdr:cNvSpPr>
          <a:spLocks noChangeShapeType="1"/>
        </xdr:cNvSpPr>
      </xdr:nvSpPr>
      <xdr:spPr bwMode="auto">
        <a:xfrm flipH="1">
          <a:off x="15001875" y="1885950"/>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742950</xdr:colOff>
      <xdr:row>17</xdr:row>
      <xdr:rowOff>104775</xdr:rowOff>
    </xdr:from>
    <xdr:to>
      <xdr:col>2</xdr:col>
      <xdr:colOff>790575</xdr:colOff>
      <xdr:row>24</xdr:row>
      <xdr:rowOff>0</xdr:rowOff>
    </xdr:to>
    <xdr:sp macro="" textlink="">
      <xdr:nvSpPr>
        <xdr:cNvPr id="2" name="Line 1">
          <a:extLst>
            <a:ext uri="{FF2B5EF4-FFF2-40B4-BE49-F238E27FC236}">
              <a16:creationId xmlns:a16="http://schemas.microsoft.com/office/drawing/2014/main" id="{8D346818-02E0-413F-AB09-1330A963BE6A}"/>
            </a:ext>
          </a:extLst>
        </xdr:cNvPr>
        <xdr:cNvSpPr>
          <a:spLocks noChangeShapeType="1"/>
        </xdr:cNvSpPr>
      </xdr:nvSpPr>
      <xdr:spPr bwMode="auto">
        <a:xfrm flipV="1">
          <a:off x="857250" y="2800350"/>
          <a:ext cx="1733550" cy="1162050"/>
        </a:xfrm>
        <a:prstGeom prst="line">
          <a:avLst/>
        </a:prstGeom>
        <a:noFill/>
        <a:ln w="9525">
          <a:solidFill>
            <a:srgbClr xmlns:mc="http://schemas.openxmlformats.org/markup-compatibility/2006" xmlns:a14="http://schemas.microsoft.com/office/drawing/2010/main" val="FF00FF" mc:Ignorable="a14" a14:legacySpreadsheetColorIndex="1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1123950</xdr:colOff>
      <xdr:row>18</xdr:row>
      <xdr:rowOff>161925</xdr:rowOff>
    </xdr:from>
    <xdr:to>
      <xdr:col>8</xdr:col>
      <xdr:colOff>47625</xdr:colOff>
      <xdr:row>24</xdr:row>
      <xdr:rowOff>19050</xdr:rowOff>
    </xdr:to>
    <xdr:sp macro="" textlink="">
      <xdr:nvSpPr>
        <xdr:cNvPr id="3" name="Line 2">
          <a:extLst>
            <a:ext uri="{FF2B5EF4-FFF2-40B4-BE49-F238E27FC236}">
              <a16:creationId xmlns:a16="http://schemas.microsoft.com/office/drawing/2014/main" id="{81E1A329-8CDF-4BD8-B827-D6A207EEB7EB}"/>
            </a:ext>
          </a:extLst>
        </xdr:cNvPr>
        <xdr:cNvSpPr>
          <a:spLocks noChangeShapeType="1"/>
        </xdr:cNvSpPr>
      </xdr:nvSpPr>
      <xdr:spPr bwMode="auto">
        <a:xfrm flipH="1" flipV="1">
          <a:off x="2924175" y="3048000"/>
          <a:ext cx="3495675" cy="933450"/>
        </a:xfrm>
        <a:prstGeom prst="line">
          <a:avLst/>
        </a:prstGeom>
        <a:noFill/>
        <a:ln w="9525">
          <a:solidFill>
            <a:srgbClr xmlns:mc="http://schemas.openxmlformats.org/markup-compatibility/2006" xmlns:a14="http://schemas.microsoft.com/office/drawing/2010/main" val="FF00FF" mc:Ignorable="a14" a14:legacySpreadsheetColorIndex="1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5</xdr:row>
      <xdr:rowOff>161925</xdr:rowOff>
    </xdr:from>
    <xdr:to>
      <xdr:col>8</xdr:col>
      <xdr:colOff>104775</xdr:colOff>
      <xdr:row>14</xdr:row>
      <xdr:rowOff>47625</xdr:rowOff>
    </xdr:to>
    <xdr:sp macro="" textlink="">
      <xdr:nvSpPr>
        <xdr:cNvPr id="4" name="Line 3">
          <a:extLst>
            <a:ext uri="{FF2B5EF4-FFF2-40B4-BE49-F238E27FC236}">
              <a16:creationId xmlns:a16="http://schemas.microsoft.com/office/drawing/2014/main" id="{AD4AAF57-A7C7-4106-8B0B-B4A8E36A6DE6}"/>
            </a:ext>
          </a:extLst>
        </xdr:cNvPr>
        <xdr:cNvSpPr>
          <a:spLocks noChangeShapeType="1"/>
        </xdr:cNvSpPr>
      </xdr:nvSpPr>
      <xdr:spPr bwMode="auto">
        <a:xfrm flipH="1">
          <a:off x="2952750" y="1266825"/>
          <a:ext cx="3524250" cy="904875"/>
        </a:xfrm>
        <a:prstGeom prst="line">
          <a:avLst/>
        </a:prstGeom>
        <a:noFill/>
        <a:ln w="9525">
          <a:solidFill>
            <a:srgbClr xmlns:mc="http://schemas.openxmlformats.org/markup-compatibility/2006" xmlns:a14="http://schemas.microsoft.com/office/drawing/2010/main" val="FF00FF" mc:Ignorable="a14" a14:legacySpreadsheetColorIndex="1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666750</xdr:colOff>
      <xdr:row>7</xdr:row>
      <xdr:rowOff>123825</xdr:rowOff>
    </xdr:from>
    <xdr:to>
      <xdr:col>2</xdr:col>
      <xdr:colOff>685800</xdr:colOff>
      <xdr:row>15</xdr:row>
      <xdr:rowOff>95250</xdr:rowOff>
    </xdr:to>
    <xdr:sp macro="" textlink="">
      <xdr:nvSpPr>
        <xdr:cNvPr id="5" name="Line 4">
          <a:extLst>
            <a:ext uri="{FF2B5EF4-FFF2-40B4-BE49-F238E27FC236}">
              <a16:creationId xmlns:a16="http://schemas.microsoft.com/office/drawing/2014/main" id="{AD6E8A44-CCF6-476D-A8E6-5BBD2BCD28D1}"/>
            </a:ext>
          </a:extLst>
        </xdr:cNvPr>
        <xdr:cNvSpPr>
          <a:spLocks noChangeShapeType="1"/>
        </xdr:cNvSpPr>
      </xdr:nvSpPr>
      <xdr:spPr bwMode="auto">
        <a:xfrm>
          <a:off x="2466975" y="1647825"/>
          <a:ext cx="19050" cy="762000"/>
        </a:xfrm>
        <a:prstGeom prst="line">
          <a:avLst/>
        </a:prstGeom>
        <a:noFill/>
        <a:ln w="9525">
          <a:solidFill>
            <a:srgbClr xmlns:mc="http://schemas.openxmlformats.org/markup-compatibility/2006" xmlns:a14="http://schemas.microsoft.com/office/drawing/2010/main" val="FF00FF" mc:Ignorable="a14" a14:legacySpreadsheetColorIndex="1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tabSelected="1" zoomScaleNormal="100" workbookViewId="0">
      <selection activeCell="B6" sqref="B6"/>
    </sheetView>
  </sheetViews>
  <sheetFormatPr baseColWidth="10" defaultRowHeight="12.75" x14ac:dyDescent="0.2"/>
  <cols>
    <col min="1" max="1" width="34.5703125" style="5" customWidth="1"/>
    <col min="2" max="2" width="19" style="5" customWidth="1"/>
    <col min="3" max="3" width="18.42578125" style="5" customWidth="1"/>
    <col min="4" max="4" width="15.5703125" style="5" customWidth="1"/>
    <col min="5" max="5" width="23.85546875" style="5" customWidth="1"/>
    <col min="6" max="6" width="19.85546875" style="5" customWidth="1"/>
    <col min="7" max="7" width="20.85546875" style="5" customWidth="1"/>
    <col min="8" max="8" width="4.42578125" style="5" customWidth="1"/>
    <col min="9" max="9" width="12.28515625" style="5" customWidth="1"/>
    <col min="10" max="10" width="5.28515625" style="5" customWidth="1"/>
    <col min="11" max="11" width="14.42578125" style="5" bestFit="1" customWidth="1"/>
    <col min="12" max="12" width="18.85546875" style="5" customWidth="1"/>
    <col min="13" max="13" width="14.7109375" style="5" bestFit="1" customWidth="1"/>
    <col min="14" max="14" width="14.28515625" style="12" bestFit="1" customWidth="1"/>
    <col min="15" max="15" width="14.28515625" style="12" customWidth="1"/>
    <col min="16" max="16" width="14" style="5" bestFit="1" customWidth="1"/>
    <col min="17" max="17" width="11.5703125" style="5" bestFit="1" customWidth="1"/>
    <col min="18" max="18" width="13.85546875" style="5" bestFit="1" customWidth="1"/>
    <col min="19" max="19" width="11.42578125" style="5"/>
    <col min="20" max="21" width="11.42578125" style="12"/>
    <col min="22" max="16384" width="11.42578125" style="5"/>
  </cols>
  <sheetData>
    <row r="1" spans="1:31" s="4" customFormat="1" ht="20.25" thickBot="1" x14ac:dyDescent="0.25">
      <c r="A1" s="849" t="s">
        <v>234</v>
      </c>
      <c r="B1" s="850"/>
      <c r="C1" s="850"/>
      <c r="D1" s="850"/>
      <c r="E1" s="850"/>
      <c r="F1" s="850"/>
      <c r="G1" s="850"/>
      <c r="H1" s="850"/>
      <c r="I1" s="851"/>
      <c r="J1" s="7"/>
      <c r="K1" s="8"/>
      <c r="L1" s="9"/>
      <c r="M1" s="9"/>
      <c r="N1" s="10"/>
      <c r="O1" s="10"/>
      <c r="P1" s="11"/>
      <c r="Q1" s="10"/>
      <c r="R1" s="10"/>
      <c r="S1" s="10"/>
      <c r="T1" s="10"/>
      <c r="U1" s="10"/>
      <c r="V1" s="10"/>
      <c r="W1" s="12"/>
      <c r="X1" s="12"/>
      <c r="Y1" s="12"/>
      <c r="Z1" s="12"/>
      <c r="AA1" s="12"/>
      <c r="AB1" s="12"/>
      <c r="AC1" s="12"/>
      <c r="AD1" s="5"/>
      <c r="AE1" s="5"/>
    </row>
    <row r="2" spans="1:31" ht="18.75" customHeight="1" x14ac:dyDescent="0.2">
      <c r="A2" s="852" t="s">
        <v>298</v>
      </c>
      <c r="B2" s="852"/>
      <c r="C2" s="852"/>
      <c r="D2" s="852"/>
      <c r="E2" s="852"/>
      <c r="F2" s="852"/>
      <c r="G2" s="852"/>
      <c r="H2" s="852"/>
      <c r="I2" s="852"/>
      <c r="J2" s="7"/>
      <c r="K2" s="8"/>
      <c r="L2" s="9"/>
      <c r="M2" s="9"/>
      <c r="N2" s="10"/>
      <c r="O2" s="10"/>
      <c r="P2" s="11"/>
      <c r="Q2" s="10"/>
      <c r="R2" s="10"/>
      <c r="S2" s="10"/>
      <c r="T2" s="10"/>
      <c r="U2" s="10"/>
      <c r="V2" s="10"/>
      <c r="W2" s="12"/>
      <c r="X2" s="12"/>
      <c r="Y2" s="12"/>
      <c r="Z2" s="12"/>
      <c r="AA2" s="12"/>
      <c r="AB2" s="12"/>
      <c r="AC2" s="12"/>
    </row>
    <row r="3" spans="1:31" ht="12.75" customHeight="1" thickBot="1" x14ac:dyDescent="0.55000000000000004">
      <c r="A3" s="346"/>
      <c r="B3" s="14"/>
      <c r="C3" s="13"/>
      <c r="D3" s="13"/>
      <c r="E3" s="6"/>
      <c r="F3" s="15"/>
      <c r="G3" s="35"/>
      <c r="H3" s="347"/>
      <c r="I3" s="347"/>
      <c r="J3" s="348"/>
      <c r="K3" s="17"/>
      <c r="N3" s="10"/>
      <c r="O3" s="10"/>
      <c r="P3" s="18"/>
      <c r="Q3" s="10"/>
      <c r="R3" s="10"/>
      <c r="S3" s="15"/>
      <c r="U3" s="19"/>
      <c r="V3" s="19"/>
      <c r="W3" s="12"/>
      <c r="X3" s="19"/>
      <c r="Y3" s="20"/>
      <c r="Z3" s="12"/>
      <c r="AA3" s="12"/>
      <c r="AB3" s="12"/>
      <c r="AC3" s="12"/>
    </row>
    <row r="4" spans="1:31" x14ac:dyDescent="0.2">
      <c r="A4" s="21" t="s">
        <v>102</v>
      </c>
      <c r="B4" s="363"/>
      <c r="C4" s="364" t="s">
        <v>25</v>
      </c>
      <c r="D4" s="364" t="s">
        <v>26</v>
      </c>
      <c r="E4" s="365"/>
      <c r="J4" s="22"/>
      <c r="K4" s="716" t="s">
        <v>452</v>
      </c>
      <c r="L4" s="717"/>
      <c r="M4" s="718"/>
      <c r="N4" s="691"/>
      <c r="O4" s="10"/>
      <c r="P4" s="10"/>
      <c r="Q4" s="10"/>
      <c r="R4" s="10"/>
      <c r="S4" s="15"/>
      <c r="U4" s="19"/>
      <c r="V4" s="19"/>
      <c r="W4" s="12"/>
      <c r="X4" s="19"/>
      <c r="Y4" s="20"/>
      <c r="Z4" s="12"/>
      <c r="AA4" s="12"/>
      <c r="AB4" s="12"/>
      <c r="AC4" s="12"/>
    </row>
    <row r="5" spans="1:31" x14ac:dyDescent="0.2">
      <c r="B5" s="366"/>
      <c r="C5" s="361" t="s">
        <v>3</v>
      </c>
      <c r="D5" s="361" t="s">
        <v>2</v>
      </c>
      <c r="E5" s="360" t="s">
        <v>27</v>
      </c>
      <c r="J5" s="13"/>
      <c r="K5" s="719" t="s">
        <v>427</v>
      </c>
      <c r="L5" s="282" t="s">
        <v>426</v>
      </c>
      <c r="M5" s="762" t="s">
        <v>431</v>
      </c>
      <c r="O5" s="10"/>
      <c r="P5" s="10"/>
      <c r="Q5" s="10"/>
      <c r="R5" s="10"/>
      <c r="S5" s="15"/>
      <c r="U5" s="19"/>
      <c r="V5" s="19"/>
      <c r="W5" s="12"/>
      <c r="X5" s="19"/>
      <c r="Y5" s="12"/>
      <c r="Z5" s="12"/>
      <c r="AA5" s="12"/>
      <c r="AB5" s="12"/>
      <c r="AC5" s="12"/>
    </row>
    <row r="6" spans="1:31" ht="12.75" customHeight="1" x14ac:dyDescent="0.2">
      <c r="A6" s="122"/>
      <c r="B6" s="715" t="s">
        <v>429</v>
      </c>
      <c r="C6" s="362">
        <v>352</v>
      </c>
      <c r="D6" s="359">
        <f>E6-C6</f>
        <v>4776</v>
      </c>
      <c r="E6" s="367">
        <v>5128</v>
      </c>
      <c r="J6" s="13"/>
      <c r="K6" s="720">
        <f>C6/E6</f>
        <v>6.8642745709828396E-2</v>
      </c>
      <c r="L6" s="834">
        <v>2.1100000000000001E-2</v>
      </c>
      <c r="M6" s="832">
        <f>K6/L6</f>
        <v>3.2532106971482651</v>
      </c>
      <c r="O6" s="10"/>
      <c r="P6" s="10"/>
      <c r="Q6" s="10"/>
      <c r="R6" s="10"/>
      <c r="S6" s="15"/>
      <c r="U6" s="19"/>
      <c r="V6" s="19"/>
      <c r="W6" s="12"/>
      <c r="X6" s="19"/>
      <c r="Y6" s="12"/>
      <c r="Z6" s="12"/>
      <c r="AA6" s="12"/>
      <c r="AB6" s="12"/>
      <c r="AC6" s="12"/>
    </row>
    <row r="7" spans="1:31" ht="12.75" customHeight="1" x14ac:dyDescent="0.2">
      <c r="A7" s="122"/>
      <c r="B7" s="715" t="s">
        <v>430</v>
      </c>
      <c r="C7" s="362">
        <v>371</v>
      </c>
      <c r="D7" s="359">
        <f>E7-C7</f>
        <v>4752</v>
      </c>
      <c r="E7" s="367">
        <v>5123</v>
      </c>
      <c r="J7" s="13"/>
      <c r="K7" s="721">
        <f>C7/E7</f>
        <v>7.2418504782354093E-2</v>
      </c>
      <c r="L7" s="835">
        <v>2.29E-2</v>
      </c>
      <c r="M7" s="833">
        <f>K7/L7</f>
        <v>3.1623801215001786</v>
      </c>
      <c r="O7" s="10"/>
      <c r="P7" s="10"/>
      <c r="Q7" s="10"/>
      <c r="R7" s="10"/>
      <c r="S7" s="15"/>
      <c r="U7" s="19"/>
      <c r="V7" s="19"/>
      <c r="W7" s="12"/>
      <c r="X7" s="19"/>
      <c r="Y7" s="12"/>
      <c r="Z7" s="12"/>
      <c r="AA7" s="12"/>
      <c r="AB7" s="12"/>
      <c r="AC7" s="12"/>
    </row>
    <row r="8" spans="1:31" ht="13.5" thickBot="1" x14ac:dyDescent="0.25">
      <c r="B8" s="368" t="s">
        <v>27</v>
      </c>
      <c r="C8" s="369">
        <f>SUM(C6:C7)</f>
        <v>723</v>
      </c>
      <c r="D8" s="369">
        <f>SUM(D6:D7)</f>
        <v>9528</v>
      </c>
      <c r="E8" s="370">
        <f>SUM(E6:E7)</f>
        <v>10251</v>
      </c>
      <c r="F8" s="690"/>
      <c r="G8" s="282"/>
      <c r="H8" s="691"/>
      <c r="I8" s="691"/>
      <c r="J8" s="13"/>
      <c r="L8" s="23"/>
      <c r="O8" s="25"/>
      <c r="P8" s="26"/>
      <c r="Q8" s="26"/>
      <c r="R8" s="26"/>
      <c r="S8" s="19"/>
      <c r="U8" s="19"/>
      <c r="V8" s="19"/>
      <c r="W8" s="12"/>
      <c r="X8" s="19"/>
      <c r="Y8" s="12"/>
      <c r="Z8" s="12"/>
      <c r="AA8" s="12"/>
      <c r="AB8" s="12"/>
      <c r="AC8" s="12"/>
    </row>
    <row r="9" spans="1:31" ht="12.75" hidden="1" customHeight="1" x14ac:dyDescent="0.2">
      <c r="B9" s="27"/>
      <c r="C9" s="28"/>
      <c r="D9" s="24"/>
      <c r="E9" s="24"/>
      <c r="G9" s="29"/>
      <c r="H9" s="13"/>
      <c r="I9" s="13"/>
      <c r="J9" s="13"/>
      <c r="L9" s="23"/>
      <c r="O9" s="25"/>
      <c r="P9" s="26"/>
      <c r="Q9" s="26"/>
      <c r="R9" s="26"/>
      <c r="S9" s="19"/>
      <c r="U9" s="19"/>
      <c r="V9" s="19"/>
      <c r="W9" s="12"/>
      <c r="X9" s="19"/>
      <c r="Y9" s="12"/>
      <c r="Z9" s="12"/>
      <c r="AA9" s="12"/>
      <c r="AB9" s="12"/>
      <c r="AC9" s="12"/>
    </row>
    <row r="10" spans="1:31" s="4" customFormat="1" ht="12.75" hidden="1" customHeight="1" x14ac:dyDescent="0.2">
      <c r="A10" s="30" t="s">
        <v>8</v>
      </c>
      <c r="B10" s="31"/>
      <c r="C10" s="32"/>
      <c r="D10" s="2"/>
      <c r="E10" s="23"/>
      <c r="F10" s="33"/>
      <c r="G10" s="23"/>
      <c r="H10" s="34"/>
      <c r="I10" s="23"/>
      <c r="L10" s="33"/>
      <c r="O10" s="2"/>
      <c r="P10" s="35"/>
      <c r="Q10" s="35"/>
      <c r="R10" s="35"/>
      <c r="S10" s="2"/>
      <c r="T10" s="2"/>
      <c r="U10" s="2"/>
      <c r="V10" s="2"/>
    </row>
    <row r="11" spans="1:31" s="4" customFormat="1" ht="12.75" hidden="1" customHeight="1" x14ac:dyDescent="0.2">
      <c r="A11" s="5" t="s">
        <v>294</v>
      </c>
      <c r="B11" s="31"/>
      <c r="C11" s="32"/>
      <c r="D11" s="2"/>
      <c r="E11" s="23"/>
      <c r="F11" s="33"/>
      <c r="G11" s="23"/>
      <c r="H11" s="34"/>
      <c r="I11" s="23"/>
      <c r="J11" s="36"/>
      <c r="O11" s="2"/>
      <c r="P11" s="3"/>
      <c r="Q11" s="3"/>
      <c r="R11" s="3"/>
      <c r="S11" s="2"/>
      <c r="T11" s="2"/>
      <c r="U11" s="2"/>
      <c r="V11" s="2"/>
    </row>
    <row r="12" spans="1:31" s="4" customFormat="1" ht="27.75" hidden="1" customHeight="1" x14ac:dyDescent="0.2">
      <c r="A12" s="448" t="s">
        <v>30</v>
      </c>
      <c r="B12" s="448" t="s">
        <v>295</v>
      </c>
      <c r="C12" s="448" t="s">
        <v>6</v>
      </c>
      <c r="D12" s="448" t="s">
        <v>296</v>
      </c>
      <c r="E12" s="448" t="s">
        <v>297</v>
      </c>
      <c r="F12" s="448" t="s">
        <v>5</v>
      </c>
      <c r="G12" s="448" t="s">
        <v>0</v>
      </c>
      <c r="H12" s="448" t="s">
        <v>1</v>
      </c>
      <c r="I12" s="23"/>
      <c r="J12" s="37" t="s">
        <v>67</v>
      </c>
      <c r="K12" s="38" t="s">
        <v>0</v>
      </c>
      <c r="L12" s="38" t="s">
        <v>1</v>
      </c>
      <c r="O12" s="2"/>
      <c r="P12" s="2"/>
      <c r="Q12" s="2"/>
      <c r="R12" s="2"/>
      <c r="S12" s="2"/>
      <c r="T12" s="2"/>
      <c r="U12" s="2"/>
      <c r="V12" s="2"/>
    </row>
    <row r="13" spans="1:31" s="4" customFormat="1" ht="12.75" hidden="1" customHeight="1" x14ac:dyDescent="0.2">
      <c r="A13" s="449">
        <f>LN((C6/E6)/(C7/E7))</f>
        <v>-5.3546401670641751E-2</v>
      </c>
      <c r="B13" s="449">
        <f>SQRT((D6/(C6*E6)+(D7/(C7*E7))))</f>
        <v>7.1736468788591079E-2</v>
      </c>
      <c r="C13" s="450">
        <f>-NORMSINV(2.55/100)</f>
        <v>1.9514797734758591</v>
      </c>
      <c r="D13" s="450">
        <f>A13-(C13*B13)</f>
        <v>-0.19353866953215951</v>
      </c>
      <c r="E13" s="451">
        <f>A13+(C13*B13)</f>
        <v>8.6445866190875992E-2</v>
      </c>
      <c r="F13" s="452">
        <f>(C6/E6)/(C7/E7)</f>
        <v>0.94786195760498881</v>
      </c>
      <c r="G13" s="453">
        <f>EXP(D13)</f>
        <v>0.82403797041619975</v>
      </c>
      <c r="H13" s="454">
        <f>EXP(E13)</f>
        <v>1.090292344442553</v>
      </c>
      <c r="I13" s="23"/>
      <c r="J13" s="39">
        <f>1-F13</f>
        <v>5.2138042395011186E-2</v>
      </c>
      <c r="K13" s="40">
        <f>1-G13</f>
        <v>0.17596202958380025</v>
      </c>
      <c r="L13" s="40">
        <f>1-H13</f>
        <v>-9.0292344442552963E-2</v>
      </c>
      <c r="M13" s="41"/>
      <c r="O13" s="2"/>
      <c r="P13" s="2"/>
      <c r="Q13" s="2"/>
      <c r="R13" s="2"/>
      <c r="S13" s="2"/>
      <c r="T13" s="2"/>
      <c r="U13" s="2"/>
      <c r="V13" s="2"/>
    </row>
    <row r="14" spans="1:31" s="4" customFormat="1" ht="12.75" hidden="1" customHeight="1" x14ac:dyDescent="0.2">
      <c r="B14" s="31"/>
      <c r="C14" s="42"/>
      <c r="D14" s="43"/>
      <c r="E14" s="44"/>
      <c r="F14" s="692"/>
      <c r="G14" s="57"/>
      <c r="H14" s="34"/>
      <c r="I14" s="23"/>
      <c r="J14" s="33"/>
      <c r="K14" s="33"/>
      <c r="L14" s="33"/>
      <c r="O14" s="2"/>
      <c r="P14" s="2"/>
      <c r="Q14" s="2"/>
      <c r="R14" s="2"/>
      <c r="S14" s="2"/>
      <c r="T14" s="2"/>
      <c r="U14" s="2"/>
      <c r="V14" s="2"/>
    </row>
    <row r="15" spans="1:31" s="12" customFormat="1" ht="12.75" hidden="1" customHeight="1" x14ac:dyDescent="0.2">
      <c r="B15" s="45"/>
      <c r="C15" s="46"/>
      <c r="D15" s="47"/>
      <c r="E15" s="48"/>
      <c r="F15" s="693"/>
      <c r="G15" s="694"/>
      <c r="H15" s="695"/>
      <c r="I15" s="49"/>
      <c r="L15" s="50"/>
      <c r="M15" s="50"/>
    </row>
    <row r="16" spans="1:31" ht="18.75" hidden="1" customHeight="1" x14ac:dyDescent="0.3">
      <c r="A16" s="51" t="s">
        <v>38</v>
      </c>
      <c r="B16" s="52"/>
      <c r="C16" s="53"/>
      <c r="D16" s="54"/>
      <c r="E16" s="49"/>
      <c r="F16" s="49"/>
      <c r="G16" s="49"/>
      <c r="H16" s="55"/>
      <c r="I16" s="49"/>
      <c r="J16" s="12"/>
      <c r="K16" s="56"/>
      <c r="L16" s="2"/>
      <c r="M16" s="57"/>
      <c r="N16" s="57"/>
      <c r="O16" s="2"/>
      <c r="P16" s="2"/>
      <c r="Q16" s="58"/>
      <c r="R16" s="57"/>
      <c r="S16" s="59"/>
      <c r="T16" s="59"/>
      <c r="U16" s="59"/>
      <c r="V16" s="12"/>
      <c r="W16" s="12"/>
      <c r="X16" s="12"/>
      <c r="Y16" s="12"/>
      <c r="Z16" s="12"/>
      <c r="AA16" s="12"/>
      <c r="AB16" s="12"/>
    </row>
    <row r="17" spans="1:29" ht="12.75" hidden="1" customHeight="1" x14ac:dyDescent="0.2">
      <c r="A17" s="60" t="s">
        <v>15</v>
      </c>
      <c r="B17" s="61" t="s">
        <v>14</v>
      </c>
      <c r="C17" s="62"/>
      <c r="D17" s="63"/>
      <c r="E17" s="64"/>
      <c r="F17" s="49"/>
      <c r="G17" s="49"/>
      <c r="H17" s="55"/>
      <c r="I17" s="49"/>
      <c r="J17" s="12"/>
      <c r="K17" s="65"/>
      <c r="L17" s="66"/>
      <c r="M17" s="57"/>
      <c r="N17" s="2"/>
      <c r="O17" s="2"/>
      <c r="P17" s="58"/>
      <c r="Q17" s="57"/>
      <c r="R17" s="59"/>
      <c r="S17" s="59"/>
      <c r="T17" s="59"/>
      <c r="V17" s="12" t="s">
        <v>36</v>
      </c>
      <c r="W17" s="12"/>
      <c r="X17" s="12"/>
      <c r="Y17" s="12"/>
      <c r="Z17" s="12"/>
      <c r="AA17" s="12"/>
    </row>
    <row r="18" spans="1:29" ht="13.5" hidden="1" customHeight="1" thickBot="1" x14ac:dyDescent="0.25">
      <c r="A18" s="67" t="s">
        <v>213</v>
      </c>
      <c r="B18" s="68" t="s">
        <v>11</v>
      </c>
      <c r="C18" s="69"/>
      <c r="D18" s="68" t="s">
        <v>214</v>
      </c>
      <c r="E18" s="68"/>
      <c r="F18" s="5" t="s">
        <v>9</v>
      </c>
      <c r="H18" s="5" t="s">
        <v>10</v>
      </c>
      <c r="I18" s="59"/>
      <c r="J18" s="59"/>
      <c r="K18" s="70"/>
      <c r="L18" s="66"/>
      <c r="M18" s="12"/>
      <c r="O18" s="5"/>
      <c r="S18" s="12"/>
      <c r="U18" s="5"/>
      <c r="V18" s="5" t="s">
        <v>37</v>
      </c>
      <c r="X18" s="71"/>
      <c r="Y18" s="71"/>
      <c r="Z18" s="71"/>
      <c r="AA18" s="71"/>
      <c r="AB18" s="71"/>
      <c r="AC18" s="71"/>
    </row>
    <row r="19" spans="1:29" ht="38.25" hidden="1" customHeight="1" x14ac:dyDescent="0.2">
      <c r="A19" s="72" t="s">
        <v>4</v>
      </c>
      <c r="B19" s="72" t="s">
        <v>31</v>
      </c>
      <c r="C19" s="73" t="s">
        <v>12</v>
      </c>
      <c r="D19" s="73" t="s">
        <v>11</v>
      </c>
      <c r="E19" s="73" t="s">
        <v>214</v>
      </c>
      <c r="F19" s="696" t="s">
        <v>9</v>
      </c>
      <c r="G19" s="696" t="s">
        <v>10</v>
      </c>
      <c r="H19" s="697" t="s">
        <v>6</v>
      </c>
      <c r="I19" s="698" t="s">
        <v>32</v>
      </c>
      <c r="J19" s="698" t="s">
        <v>0</v>
      </c>
      <c r="K19" s="73" t="s">
        <v>1</v>
      </c>
      <c r="L19" s="74"/>
      <c r="M19" s="75"/>
      <c r="N19" s="76" t="s">
        <v>17</v>
      </c>
      <c r="O19" s="77" t="s">
        <v>215</v>
      </c>
      <c r="P19" s="78"/>
      <c r="Q19" s="79"/>
      <c r="R19" s="80"/>
      <c r="S19" s="80"/>
      <c r="T19" s="81"/>
      <c r="V19" s="82"/>
      <c r="W19" s="76" t="s">
        <v>216</v>
      </c>
      <c r="X19" s="77" t="s">
        <v>33</v>
      </c>
      <c r="Y19" s="83"/>
      <c r="Z19" s="83"/>
      <c r="AA19" s="83"/>
      <c r="AB19" s="83"/>
      <c r="AC19" s="84"/>
    </row>
    <row r="20" spans="1:29" ht="12.75" hidden="1" customHeight="1" x14ac:dyDescent="0.2">
      <c r="A20" s="85">
        <f>C6</f>
        <v>352</v>
      </c>
      <c r="B20" s="85">
        <f>E6</f>
        <v>5128</v>
      </c>
      <c r="C20" s="86">
        <f>A20/B20</f>
        <v>6.8642745709828396E-2</v>
      </c>
      <c r="D20" s="87">
        <f>2*A20+H20^2</f>
        <v>707.84145882069413</v>
      </c>
      <c r="E20" s="87">
        <f>H20*SQRT((H20^2)+(4*A20*(1-C20)))</f>
        <v>71.079235545856761</v>
      </c>
      <c r="F20" s="699">
        <f>2*(B20+H20^2)</f>
        <v>10263.682917641388</v>
      </c>
      <c r="G20" s="700" t="s">
        <v>13</v>
      </c>
      <c r="H20" s="701">
        <f>-NORMSINV(2.5/100)</f>
        <v>1.9599639845400538</v>
      </c>
      <c r="I20" s="244">
        <f>C20</f>
        <v>6.8642745709828396E-2</v>
      </c>
      <c r="J20" s="245">
        <f>(D20-E20)/F20</f>
        <v>6.2040324938366906E-2</v>
      </c>
      <c r="K20" s="88">
        <f>(D20+E20)/F20</f>
        <v>7.589095460341326E-2</v>
      </c>
      <c r="L20" s="74"/>
      <c r="M20" s="89">
        <f>B20</f>
        <v>5128</v>
      </c>
      <c r="N20" s="22" t="s">
        <v>18</v>
      </c>
      <c r="O20" s="2"/>
      <c r="P20" s="58"/>
      <c r="Q20" s="57"/>
      <c r="R20" s="59"/>
      <c r="S20" s="59"/>
      <c r="T20" s="90"/>
      <c r="V20" s="91">
        <f>ABS(C20-C21)</f>
        <v>3.7757590725256973E-3</v>
      </c>
      <c r="W20" s="22" t="s">
        <v>34</v>
      </c>
      <c r="X20" s="2"/>
      <c r="Y20" s="22"/>
      <c r="Z20" s="22"/>
      <c r="AA20" s="22"/>
      <c r="AB20" s="22"/>
      <c r="AC20" s="92"/>
    </row>
    <row r="21" spans="1:29" ht="12.75" hidden="1" customHeight="1" x14ac:dyDescent="0.2">
      <c r="A21" s="85">
        <f>C7</f>
        <v>371</v>
      </c>
      <c r="B21" s="85">
        <f>E7</f>
        <v>5123</v>
      </c>
      <c r="C21" s="86">
        <f>A21/B21</f>
        <v>7.2418504782354093E-2</v>
      </c>
      <c r="D21" s="87">
        <f>2*A21+H21^2</f>
        <v>745.84145882069413</v>
      </c>
      <c r="E21" s="87">
        <f>H21*SQRT((H21^2)+(4*A21*(1-C21)))</f>
        <v>72.819253793748331</v>
      </c>
      <c r="F21" s="699">
        <f>2*(B21+H21^2)</f>
        <v>10253.682917641388</v>
      </c>
      <c r="G21" s="700" t="s">
        <v>13</v>
      </c>
      <c r="H21" s="701">
        <f>-NORMSINV(2.5/100)</f>
        <v>1.9599639845400538</v>
      </c>
      <c r="I21" s="244">
        <f>C21</f>
        <v>7.2418504782354093E-2</v>
      </c>
      <c r="J21" s="245">
        <f>(D21-E21)/F21</f>
        <v>6.5637118919390017E-2</v>
      </c>
      <c r="K21" s="88">
        <f>(D21+E21)/F21</f>
        <v>7.9840650348758355E-2</v>
      </c>
      <c r="L21" s="74"/>
      <c r="M21" s="93">
        <f>I25</f>
        <v>3.7757590725256973E-3</v>
      </c>
      <c r="N21" s="22" t="s">
        <v>19</v>
      </c>
      <c r="O21" s="22"/>
      <c r="P21" s="22"/>
      <c r="Q21" s="22"/>
      <c r="R21" s="22"/>
      <c r="S21" s="22"/>
      <c r="T21" s="94"/>
      <c r="V21" s="95">
        <f>SQRT((C22*(1-C22)/B20)+(C22*(1-C22)/B21))</f>
        <v>5.0576726855087245E-3</v>
      </c>
      <c r="W21" s="96" t="s">
        <v>35</v>
      </c>
      <c r="X21" s="22"/>
      <c r="Y21" s="22"/>
      <c r="Z21" s="22"/>
      <c r="AA21" s="22"/>
      <c r="AB21" s="22"/>
      <c r="AC21" s="92"/>
    </row>
    <row r="22" spans="1:29" ht="12.75" hidden="1" customHeight="1" x14ac:dyDescent="0.2">
      <c r="A22" s="97">
        <f>A20+A21</f>
        <v>723</v>
      </c>
      <c r="B22" s="97">
        <f>B20+B21</f>
        <v>10251</v>
      </c>
      <c r="C22" s="98">
        <f>A22/B22</f>
        <v>7.052970441908106E-2</v>
      </c>
      <c r="D22" s="99"/>
      <c r="E22" s="99"/>
      <c r="F22" s="702"/>
      <c r="G22" s="13"/>
      <c r="H22" s="57"/>
      <c r="I22" s="703"/>
      <c r="J22" s="703"/>
      <c r="K22" s="100"/>
      <c r="L22" s="74"/>
      <c r="M22" s="101">
        <f>(A20+A21)/(B20+B21)</f>
        <v>7.052970441908106E-2</v>
      </c>
      <c r="N22" s="22" t="s">
        <v>7</v>
      </c>
      <c r="O22" s="2"/>
      <c r="P22" s="58"/>
      <c r="Q22" s="57"/>
      <c r="R22" s="59"/>
      <c r="S22" s="59"/>
      <c r="T22" s="92"/>
      <c r="V22" s="102">
        <f>V20/V21</f>
        <v>0.74654081181331211</v>
      </c>
      <c r="W22" s="22" t="s">
        <v>56</v>
      </c>
      <c r="X22" s="2"/>
      <c r="Y22" s="22"/>
      <c r="Z22" s="22"/>
      <c r="AA22" s="22"/>
      <c r="AB22" s="22"/>
      <c r="AC22" s="92"/>
    </row>
    <row r="23" spans="1:29" ht="12.75" hidden="1" customHeight="1" x14ac:dyDescent="0.2">
      <c r="A23" s="68"/>
      <c r="B23" s="61" t="s">
        <v>16</v>
      </c>
      <c r="C23" s="68"/>
      <c r="D23" s="68"/>
      <c r="E23" s="64"/>
      <c r="F23" s="49"/>
      <c r="G23" s="49"/>
      <c r="H23" s="55"/>
      <c r="I23" s="49"/>
      <c r="J23" s="12"/>
      <c r="K23" s="68"/>
      <c r="L23" s="74"/>
      <c r="M23" s="455">
        <f>SQRT(M20*M21^2/(2*M22*(1-M22)))-H20</f>
        <v>-1.2132410407345193</v>
      </c>
      <c r="N23" s="22" t="s">
        <v>217</v>
      </c>
      <c r="O23" s="22"/>
      <c r="P23" s="22"/>
      <c r="Q23" s="22"/>
      <c r="R23" s="22"/>
      <c r="S23" s="4"/>
      <c r="T23" s="90"/>
      <c r="V23" s="349">
        <f>NORMSDIST(-V22)</f>
        <v>0.22767039378957996</v>
      </c>
      <c r="W23" s="56" t="s">
        <v>72</v>
      </c>
      <c r="X23" s="22"/>
      <c r="Y23" s="4"/>
      <c r="Z23" s="4"/>
      <c r="AA23" s="4"/>
      <c r="AB23" s="4"/>
      <c r="AC23" s="94"/>
    </row>
    <row r="24" spans="1:29" ht="13.5" hidden="1" customHeight="1" thickBot="1" x14ac:dyDescent="0.25">
      <c r="A24" s="68"/>
      <c r="B24" s="61" t="s">
        <v>218</v>
      </c>
      <c r="C24" s="62"/>
      <c r="D24" s="63"/>
      <c r="E24" s="64"/>
      <c r="F24" s="49"/>
      <c r="I24" s="103"/>
      <c r="J24" s="103"/>
      <c r="K24" s="103"/>
      <c r="L24" s="74"/>
      <c r="M24" s="350">
        <f>NORMSDIST(M23)</f>
        <v>0.11251883865632648</v>
      </c>
      <c r="N24" s="56" t="s">
        <v>21</v>
      </c>
      <c r="O24" s="104"/>
      <c r="P24" s="22"/>
      <c r="Q24" s="22"/>
      <c r="R24" s="22"/>
      <c r="S24" s="22"/>
      <c r="T24" s="92"/>
      <c r="V24" s="105">
        <f>1-V23</f>
        <v>0.77232960621042002</v>
      </c>
      <c r="W24" s="106" t="s">
        <v>235</v>
      </c>
      <c r="X24" s="104"/>
      <c r="Y24" s="4"/>
      <c r="Z24" s="4"/>
      <c r="AA24" s="4"/>
      <c r="AB24" s="4"/>
      <c r="AC24" s="94"/>
    </row>
    <row r="25" spans="1:29" ht="15" hidden="1" customHeight="1" thickBot="1" x14ac:dyDescent="0.35">
      <c r="A25" s="107" t="s">
        <v>101</v>
      </c>
      <c r="B25" s="108"/>
      <c r="D25" s="62"/>
      <c r="E25" s="109" t="s">
        <v>69</v>
      </c>
      <c r="G25" s="29"/>
      <c r="H25" s="110" t="s">
        <v>28</v>
      </c>
      <c r="I25" s="111">
        <f>C21-C20</f>
        <v>3.7757590725256973E-3</v>
      </c>
      <c r="J25" s="112">
        <f>I25+SQRT((C21-J21)^2+(K20-C20)^2)</f>
        <v>1.3701670939324222E-2</v>
      </c>
      <c r="K25" s="113">
        <f>I25-SQRT((C20-J20)^2+(K21-C21)^2)</f>
        <v>-6.1580319889130604E-3</v>
      </c>
      <c r="L25" s="22"/>
      <c r="M25" s="351">
        <f>1-M24</f>
        <v>0.8874811613436735</v>
      </c>
      <c r="N25" s="114" t="s">
        <v>20</v>
      </c>
      <c r="O25" s="115"/>
      <c r="P25" s="116"/>
      <c r="Q25" s="115"/>
      <c r="R25" s="115"/>
      <c r="S25" s="115"/>
      <c r="T25" s="117"/>
      <c r="V25" s="118"/>
      <c r="W25" s="119"/>
      <c r="X25" s="115"/>
      <c r="Y25" s="119"/>
      <c r="Z25" s="119"/>
      <c r="AA25" s="119"/>
      <c r="AB25" s="119"/>
      <c r="AC25" s="120"/>
    </row>
    <row r="26" spans="1:29" ht="13.5" hidden="1" customHeight="1" thickBot="1" x14ac:dyDescent="0.25">
      <c r="C26" s="121"/>
      <c r="E26" s="122"/>
      <c r="H26" s="123" t="s">
        <v>29</v>
      </c>
      <c r="I26" s="124">
        <f>1/I25</f>
        <v>264.84740704895546</v>
      </c>
      <c r="J26" s="125">
        <f>1/J25</f>
        <v>72.983799160580404</v>
      </c>
      <c r="K26" s="126">
        <f>1/K25</f>
        <v>-162.38954292546759</v>
      </c>
      <c r="L26" s="24"/>
      <c r="N26" s="5"/>
      <c r="O26" s="5"/>
      <c r="T26" s="5"/>
      <c r="U26" s="5"/>
      <c r="V26" s="12"/>
      <c r="W26" s="12"/>
      <c r="X26" s="12"/>
      <c r="Y26" s="12"/>
      <c r="Z26" s="12"/>
      <c r="AA26" s="12"/>
      <c r="AB26" s="12"/>
    </row>
    <row r="27" spans="1:29" ht="12.75" hidden="1" customHeight="1" x14ac:dyDescent="0.2">
      <c r="A27" s="4"/>
      <c r="B27" s="127"/>
      <c r="C27" s="121"/>
      <c r="D27" s="128"/>
      <c r="I27" s="129"/>
      <c r="J27" s="130"/>
      <c r="K27" s="130"/>
      <c r="L27" s="131"/>
      <c r="M27" s="131"/>
      <c r="N27" s="6"/>
      <c r="O27" s="6"/>
      <c r="P27" s="6"/>
      <c r="Q27" s="6"/>
      <c r="R27" s="6"/>
      <c r="S27" s="6"/>
      <c r="T27" s="5"/>
      <c r="U27" s="5"/>
    </row>
    <row r="28" spans="1:29" ht="15.75" hidden="1" customHeight="1" x14ac:dyDescent="0.25">
      <c r="A28" s="36"/>
      <c r="B28" s="36"/>
      <c r="C28" s="127"/>
      <c r="D28" s="128"/>
      <c r="E28" s="132"/>
      <c r="F28" s="133"/>
      <c r="G28" s="134" t="s">
        <v>92</v>
      </c>
      <c r="H28" s="135" t="s">
        <v>93</v>
      </c>
      <c r="I28" s="136">
        <f>I26</f>
        <v>264.84740704895546</v>
      </c>
      <c r="J28" s="136">
        <f>J26</f>
        <v>72.983799160580404</v>
      </c>
      <c r="K28" s="136">
        <f>K26</f>
        <v>-162.38954292546759</v>
      </c>
      <c r="L28" s="29"/>
      <c r="T28" s="5"/>
      <c r="U28" s="5"/>
    </row>
    <row r="29" spans="1:29" s="4" customFormat="1" ht="12.75" hidden="1" customHeight="1" x14ac:dyDescent="0.2">
      <c r="A29" s="23"/>
      <c r="B29" s="128"/>
      <c r="C29" s="128"/>
      <c r="D29" s="137"/>
      <c r="E29" s="138"/>
      <c r="F29" s="704"/>
      <c r="G29" s="139"/>
      <c r="H29" s="140" t="s">
        <v>96</v>
      </c>
      <c r="I29" s="141">
        <f>(1-C21)*I26</f>
        <v>245.66755383498659</v>
      </c>
      <c r="J29" s="141">
        <f>(1-C21)*J26</f>
        <v>67.698421552035541</v>
      </c>
      <c r="K29" s="141">
        <f>(1-C21)*K26</f>
        <v>-150.62953503451533</v>
      </c>
      <c r="L29" s="5"/>
      <c r="M29" s="5"/>
      <c r="N29" s="12"/>
      <c r="O29" s="12"/>
      <c r="P29" s="5"/>
      <c r="Q29" s="5"/>
      <c r="R29" s="5"/>
      <c r="S29" s="5"/>
    </row>
    <row r="30" spans="1:29" s="4" customFormat="1" ht="12.75" hidden="1" customHeight="1" x14ac:dyDescent="0.2">
      <c r="B30" s="127"/>
      <c r="C30" s="127"/>
      <c r="D30" s="127"/>
      <c r="E30" s="142"/>
      <c r="F30" s="705"/>
      <c r="G30" s="143"/>
      <c r="H30" s="144" t="s">
        <v>99</v>
      </c>
      <c r="I30" s="145">
        <f>I26*I25</f>
        <v>0.99999999999999989</v>
      </c>
      <c r="J30" s="145">
        <f>J26*J25</f>
        <v>1</v>
      </c>
      <c r="K30" s="145">
        <f>K26*K25</f>
        <v>1</v>
      </c>
    </row>
    <row r="31" spans="1:29" s="4" customFormat="1" ht="12.75" hidden="1" customHeight="1" x14ac:dyDescent="0.2">
      <c r="A31" s="33"/>
      <c r="B31" s="146"/>
      <c r="D31" s="33"/>
      <c r="F31" s="706"/>
      <c r="G31" s="147"/>
      <c r="H31" s="148" t="s">
        <v>100</v>
      </c>
      <c r="I31" s="149">
        <f>(C21-I25)*I26</f>
        <v>18.179853213968862</v>
      </c>
      <c r="J31" s="149">
        <f>(C21-J25)*J26</f>
        <v>4.2853776085448629</v>
      </c>
      <c r="K31" s="149">
        <f>(C21-K25)*K26</f>
        <v>-12.76000789095227</v>
      </c>
    </row>
    <row r="32" spans="1:29" s="4" customFormat="1" ht="12.75" hidden="1" customHeight="1" x14ac:dyDescent="0.2">
      <c r="A32" s="33"/>
      <c r="F32" s="150"/>
      <c r="G32" s="150"/>
      <c r="H32" s="150"/>
      <c r="I32" s="151"/>
      <c r="J32" s="151"/>
      <c r="K32" s="151"/>
    </row>
    <row r="33" spans="1:21" s="4" customFormat="1" ht="15.75" hidden="1" customHeight="1" x14ac:dyDescent="0.25">
      <c r="E33" s="152"/>
      <c r="F33" s="153"/>
      <c r="G33" s="134" t="s">
        <v>94</v>
      </c>
      <c r="H33" s="135" t="s">
        <v>95</v>
      </c>
      <c r="I33" s="136">
        <f>ABS(I26)</f>
        <v>264.84740704895546</v>
      </c>
      <c r="J33" s="136">
        <f>ABS(K26)</f>
        <v>162.38954292546759</v>
      </c>
      <c r="K33" s="136">
        <f>ABS(J26)</f>
        <v>72.983799160580404</v>
      </c>
      <c r="M33" s="154"/>
      <c r="N33" s="154"/>
      <c r="O33" s="155"/>
      <c r="P33" s="156"/>
    </row>
    <row r="34" spans="1:21" s="4" customFormat="1" ht="13.5" hidden="1" customHeight="1" x14ac:dyDescent="0.2">
      <c r="F34" s="707"/>
      <c r="G34" s="157"/>
      <c r="H34" s="158" t="s">
        <v>96</v>
      </c>
      <c r="I34" s="141">
        <f>ABS((1-(C21-I25))*I26)</f>
        <v>246.66755383498659</v>
      </c>
      <c r="J34" s="141">
        <f>ABS((1-(C21-K25))*K26)</f>
        <v>149.62953503451533</v>
      </c>
      <c r="K34" s="141">
        <f>ABS((1-(C21-J25))*J26)</f>
        <v>68.698421552035541</v>
      </c>
      <c r="M34" s="154"/>
      <c r="N34" s="154"/>
      <c r="O34" s="154"/>
      <c r="P34" s="156"/>
    </row>
    <row r="35" spans="1:21" s="4" customFormat="1" ht="12.75" hidden="1" customHeight="1" x14ac:dyDescent="0.2">
      <c r="E35" s="159"/>
      <c r="F35" s="708"/>
      <c r="G35" s="160"/>
      <c r="H35" s="161" t="s">
        <v>97</v>
      </c>
      <c r="I35" s="162">
        <f>I26*I25</f>
        <v>0.99999999999999989</v>
      </c>
      <c r="J35" s="163">
        <f>K26*K25</f>
        <v>1</v>
      </c>
      <c r="K35" s="163">
        <f>J26*J25</f>
        <v>1</v>
      </c>
    </row>
    <row r="36" spans="1:21" ht="15.75" hidden="1" customHeight="1" x14ac:dyDescent="0.25">
      <c r="A36" s="164" t="s">
        <v>50</v>
      </c>
      <c r="B36" s="165"/>
      <c r="C36" s="165"/>
      <c r="D36" s="165"/>
      <c r="E36" s="150"/>
      <c r="F36" s="709"/>
      <c r="G36" s="166"/>
      <c r="H36" s="167" t="s">
        <v>98</v>
      </c>
      <c r="I36" s="149">
        <f>ABS(C21*I26)</f>
        <v>19.179853213968862</v>
      </c>
      <c r="J36" s="149">
        <f>ABS(C21*K26)</f>
        <v>11.76000789095227</v>
      </c>
      <c r="K36" s="149">
        <f>ABS(C21*J26)</f>
        <v>5.2853776085448629</v>
      </c>
      <c r="M36" s="4"/>
      <c r="N36" s="4"/>
      <c r="O36" s="4"/>
      <c r="P36" s="4"/>
      <c r="Q36" s="4"/>
      <c r="T36" s="5"/>
      <c r="U36" s="5"/>
    </row>
    <row r="37" spans="1:21" s="12" customFormat="1" ht="12.75" hidden="1" customHeight="1" x14ac:dyDescent="0.2">
      <c r="A37" s="5"/>
      <c r="B37" s="168" t="s">
        <v>25</v>
      </c>
      <c r="C37" s="169" t="s">
        <v>26</v>
      </c>
      <c r="D37" s="22"/>
      <c r="E37" s="150"/>
      <c r="F37" s="150"/>
      <c r="G37" s="170"/>
      <c r="H37" s="171"/>
      <c r="I37" s="172"/>
      <c r="J37" s="172"/>
      <c r="K37" s="172"/>
      <c r="M37" s="4"/>
      <c r="N37" s="4"/>
      <c r="O37" s="4"/>
      <c r="P37" s="4"/>
      <c r="Q37" s="4"/>
    </row>
    <row r="38" spans="1:21" ht="12.75" hidden="1" customHeight="1" x14ac:dyDescent="0.2">
      <c r="A38" s="173" t="s">
        <v>42</v>
      </c>
      <c r="B38" s="174" t="s">
        <v>3</v>
      </c>
      <c r="C38" s="175" t="s">
        <v>2</v>
      </c>
      <c r="D38" s="176" t="s">
        <v>27</v>
      </c>
      <c r="M38" s="4"/>
      <c r="N38" s="4"/>
      <c r="O38" s="4"/>
      <c r="P38" s="4"/>
      <c r="Q38" s="4"/>
      <c r="T38" s="5"/>
      <c r="U38" s="5"/>
    </row>
    <row r="39" spans="1:21" ht="13.5" hidden="1" customHeight="1" x14ac:dyDescent="0.2">
      <c r="A39" s="177" t="s">
        <v>22</v>
      </c>
      <c r="B39" s="178">
        <f>E6*C8/E8</f>
        <v>361.67632426104768</v>
      </c>
      <c r="C39" s="178">
        <f>E6*D8/E8</f>
        <v>4766.3236757389523</v>
      </c>
      <c r="D39" s="178">
        <f>E6</f>
        <v>5128</v>
      </c>
      <c r="F39" s="586"/>
      <c r="G39" s="710" t="s">
        <v>40</v>
      </c>
      <c r="H39" s="179">
        <f>CHIINV(0.05,J40)</f>
        <v>3.8414588206941236</v>
      </c>
      <c r="M39" s="4"/>
      <c r="N39" s="154"/>
      <c r="O39" s="154"/>
      <c r="P39" s="154"/>
      <c r="Q39" s="4"/>
      <c r="T39" s="5"/>
      <c r="U39" s="5"/>
    </row>
    <row r="40" spans="1:21" ht="12.75" hidden="1" customHeight="1" x14ac:dyDescent="0.2">
      <c r="A40" s="180" t="s">
        <v>23</v>
      </c>
      <c r="B40" s="178">
        <f>E7*C8/E8</f>
        <v>361.32367573895232</v>
      </c>
      <c r="C40" s="178">
        <f>E7*D8/E8</f>
        <v>4761.6763242610477</v>
      </c>
      <c r="D40" s="178">
        <f>E7</f>
        <v>5123</v>
      </c>
      <c r="E40" s="12"/>
      <c r="F40" s="711"/>
      <c r="G40" s="711"/>
      <c r="H40" s="133"/>
      <c r="I40" s="584" t="s">
        <v>41</v>
      </c>
      <c r="J40" s="712">
        <f>(COUNT(B39:C39)-1)*(COUNT(B39:B40)-1)</f>
        <v>1</v>
      </c>
      <c r="N40" s="154"/>
      <c r="O40" s="154"/>
      <c r="P40" s="154"/>
      <c r="Q40" s="4"/>
      <c r="T40" s="5"/>
      <c r="U40" s="5"/>
    </row>
    <row r="41" spans="1:21" ht="12.75" hidden="1" customHeight="1" x14ac:dyDescent="0.2">
      <c r="A41" s="62" t="s">
        <v>39</v>
      </c>
      <c r="B41" s="178">
        <f>SUM(B39:B40)</f>
        <v>723</v>
      </c>
      <c r="C41" s="178">
        <f>SUM(C39:C40)</f>
        <v>9528</v>
      </c>
      <c r="D41" s="181">
        <f>SUM(D39:D40)</f>
        <v>10251</v>
      </c>
      <c r="E41" s="12"/>
      <c r="F41" s="12"/>
      <c r="G41" s="182" t="s">
        <v>43</v>
      </c>
      <c r="H41" s="22" t="s">
        <v>44</v>
      </c>
      <c r="N41" s="154"/>
      <c r="O41" s="155"/>
      <c r="P41" s="154"/>
      <c r="Q41" s="4"/>
      <c r="T41" s="5"/>
      <c r="U41" s="5"/>
    </row>
    <row r="42" spans="1:21" ht="12.75" hidden="1" customHeight="1" x14ac:dyDescent="0.2">
      <c r="A42" s="62"/>
      <c r="B42" s="183"/>
      <c r="C42" s="183"/>
      <c r="D42" s="184"/>
      <c r="E42" s="12"/>
      <c r="F42" s="12"/>
      <c r="G42" s="182" t="s">
        <v>45</v>
      </c>
      <c r="H42" s="22" t="s">
        <v>46</v>
      </c>
      <c r="N42" s="156"/>
      <c r="O42" s="156"/>
      <c r="P42" s="156"/>
      <c r="Q42" s="4"/>
      <c r="T42" s="5"/>
      <c r="U42" s="5"/>
    </row>
    <row r="43" spans="1:21" ht="26.25" hidden="1" customHeight="1" x14ac:dyDescent="0.2">
      <c r="A43" s="185"/>
      <c r="B43" s="855" t="s">
        <v>53</v>
      </c>
      <c r="C43" s="856"/>
      <c r="F43" s="29"/>
      <c r="G43" s="129"/>
      <c r="N43" s="5"/>
      <c r="O43" s="5"/>
      <c r="T43" s="5"/>
      <c r="U43" s="5"/>
    </row>
    <row r="44" spans="1:21" ht="12.75" hidden="1" customHeight="1" x14ac:dyDescent="0.2">
      <c r="A44" s="185"/>
      <c r="B44" s="186">
        <f>(C6-B39)^2/B39</f>
        <v>0.25888133926444018</v>
      </c>
      <c r="C44" s="186">
        <f>(D6-C39)^2/C39</f>
        <v>1.9644333363580235E-2</v>
      </c>
      <c r="E44" s="173"/>
      <c r="F44" s="713"/>
      <c r="I44" s="4"/>
      <c r="J44" s="4"/>
      <c r="K44" s="16"/>
      <c r="N44" s="5"/>
      <c r="O44" s="5"/>
      <c r="T44" s="5"/>
      <c r="U44" s="5"/>
    </row>
    <row r="45" spans="1:21" ht="12.75" hidden="1" customHeight="1" x14ac:dyDescent="0.2">
      <c r="A45" s="185"/>
      <c r="B45" s="186">
        <f>(C7-B40)^2/B40</f>
        <v>0.25913400502597095</v>
      </c>
      <c r="C45" s="186">
        <f>(D7-C40)^2/C40</f>
        <v>1.966350604888531E-2</v>
      </c>
      <c r="D45" s="17"/>
      <c r="E45" s="187" t="s">
        <v>47</v>
      </c>
      <c r="F45" s="714">
        <f>B47-H39</f>
        <v>-3.2841356369912469</v>
      </c>
      <c r="I45" s="4"/>
      <c r="J45" s="4"/>
      <c r="N45" s="5"/>
      <c r="O45" s="5"/>
      <c r="T45" s="5"/>
      <c r="U45" s="5"/>
    </row>
    <row r="46" spans="1:21" ht="13.5" hidden="1" customHeight="1" thickBot="1" x14ac:dyDescent="0.25">
      <c r="A46" s="22" t="s">
        <v>49</v>
      </c>
      <c r="C46" s="188"/>
      <c r="F46" s="5" t="s">
        <v>51</v>
      </c>
      <c r="I46" s="4"/>
      <c r="J46" s="4"/>
      <c r="N46" s="5"/>
      <c r="O46" s="5"/>
      <c r="T46" s="5"/>
      <c r="U46" s="5"/>
    </row>
    <row r="47" spans="1:21" ht="13.5" hidden="1" customHeight="1" thickBot="1" x14ac:dyDescent="0.25">
      <c r="A47" s="189" t="s">
        <v>48</v>
      </c>
      <c r="B47" s="190">
        <f>SUM(B44:C45)</f>
        <v>0.5573231837028767</v>
      </c>
      <c r="C47" s="22"/>
      <c r="F47" s="5" t="s">
        <v>52</v>
      </c>
      <c r="H47" s="17"/>
      <c r="I47" s="4"/>
      <c r="J47" s="4"/>
      <c r="K47" s="191"/>
      <c r="N47" s="5"/>
      <c r="O47" s="5"/>
      <c r="T47" s="5"/>
      <c r="U47" s="5"/>
    </row>
    <row r="48" spans="1:21" ht="14.25" hidden="1" customHeight="1" thickBot="1" x14ac:dyDescent="0.25">
      <c r="A48" s="192" t="s">
        <v>219</v>
      </c>
      <c r="B48" s="193">
        <f>CHIDIST(B47,1)</f>
        <v>0.45534078757916086</v>
      </c>
      <c r="D48" s="22"/>
      <c r="E48" s="22"/>
      <c r="F48" s="22"/>
      <c r="G48" s="240"/>
      <c r="H48" s="22"/>
      <c r="I48" s="4"/>
      <c r="J48" s="4"/>
      <c r="K48" s="22"/>
      <c r="N48" s="5"/>
      <c r="O48" s="5"/>
      <c r="T48" s="5"/>
      <c r="U48" s="5"/>
    </row>
    <row r="49" spans="1:21" s="4" customFormat="1" ht="12.75" hidden="1" customHeight="1" x14ac:dyDescent="0.2">
      <c r="D49" s="194"/>
      <c r="E49" s="194"/>
      <c r="H49" s="195"/>
    </row>
    <row r="50" spans="1:21" ht="12.75" hidden="1" customHeight="1" x14ac:dyDescent="0.2">
      <c r="I50" s="4"/>
      <c r="J50" s="4"/>
      <c r="N50" s="5"/>
      <c r="O50" s="5"/>
      <c r="T50" s="5"/>
      <c r="U50" s="5"/>
    </row>
    <row r="51" spans="1:21" ht="13.5" hidden="1" customHeight="1" thickBot="1" x14ac:dyDescent="0.25">
      <c r="F51" s="129"/>
      <c r="I51" s="4"/>
      <c r="J51" s="4"/>
      <c r="N51" s="5"/>
      <c r="O51" s="5"/>
      <c r="T51" s="5"/>
      <c r="U51" s="5"/>
    </row>
    <row r="52" spans="1:21" ht="13.5" hidden="1" customHeight="1" thickBot="1" x14ac:dyDescent="0.25">
      <c r="A52" s="196" t="s">
        <v>236</v>
      </c>
      <c r="B52" s="197"/>
      <c r="C52" s="197"/>
      <c r="D52" s="198" t="s">
        <v>83</v>
      </c>
      <c r="E52" s="198" t="s">
        <v>84</v>
      </c>
      <c r="F52" s="198" t="s">
        <v>85</v>
      </c>
      <c r="G52" s="84"/>
      <c r="I52" s="4"/>
      <c r="J52" s="4"/>
      <c r="N52" s="5"/>
      <c r="O52" s="5"/>
      <c r="T52" s="5"/>
      <c r="U52" s="5"/>
    </row>
    <row r="53" spans="1:21" ht="12.75" hidden="1" customHeight="1" x14ac:dyDescent="0.2">
      <c r="A53" s="199" t="s">
        <v>73</v>
      </c>
      <c r="B53" s="200">
        <f>ROUND(E6,0)</f>
        <v>5128</v>
      </c>
      <c r="C53" s="200">
        <f>ROUND(E7,0)</f>
        <v>5123</v>
      </c>
      <c r="D53" s="201">
        <f>ROUND(F13,2)</f>
        <v>0.95</v>
      </c>
      <c r="E53" s="202">
        <f>ROUND(I25,4)</f>
        <v>3.8E-3</v>
      </c>
      <c r="F53" s="203">
        <f>ROUND(I26,0)</f>
        <v>265</v>
      </c>
      <c r="G53" s="92"/>
      <c r="I53" s="4"/>
      <c r="J53" s="4"/>
      <c r="N53" s="5"/>
      <c r="O53" s="5"/>
      <c r="T53" s="5"/>
      <c r="U53" s="5"/>
    </row>
    <row r="54" spans="1:21" ht="12.75" hidden="1" customHeight="1" x14ac:dyDescent="0.2">
      <c r="A54" s="204" t="s">
        <v>75</v>
      </c>
      <c r="B54" s="200">
        <f>ROUND(C6,0)</f>
        <v>352</v>
      </c>
      <c r="C54" s="200">
        <f>ROUND(C7,0)</f>
        <v>371</v>
      </c>
      <c r="D54" s="201">
        <f>ROUND(G13,2)</f>
        <v>0.82</v>
      </c>
      <c r="E54" s="202">
        <f>ROUND(K25,4)</f>
        <v>-6.1999999999999998E-3</v>
      </c>
      <c r="F54" s="203">
        <f>ROUND(J26,0)</f>
        <v>73</v>
      </c>
      <c r="G54" s="92"/>
      <c r="I54" s="4"/>
      <c r="J54" s="4"/>
      <c r="N54" s="5"/>
      <c r="O54" s="5"/>
      <c r="T54" s="5"/>
      <c r="U54" s="5"/>
    </row>
    <row r="55" spans="1:21" s="12" customFormat="1" ht="12.75" hidden="1" customHeight="1" x14ac:dyDescent="0.2">
      <c r="A55" s="204" t="s">
        <v>74</v>
      </c>
      <c r="B55" s="202">
        <f>ROUND(C20,4)</f>
        <v>6.8599999999999994E-2</v>
      </c>
      <c r="C55" s="202">
        <f>ROUND(C21,4)</f>
        <v>7.2400000000000006E-2</v>
      </c>
      <c r="D55" s="201">
        <f>ROUND(H13,2)</f>
        <v>1.0900000000000001</v>
      </c>
      <c r="E55" s="202">
        <f>ROUND(J25,4)</f>
        <v>1.37E-2</v>
      </c>
      <c r="F55" s="203">
        <f>ROUND(K26,0)</f>
        <v>-162</v>
      </c>
      <c r="G55" s="205">
        <f>ROUND(M24,4)</f>
        <v>0.1125</v>
      </c>
      <c r="I55" s="4"/>
      <c r="J55" s="4"/>
    </row>
    <row r="56" spans="1:21" ht="12.75" hidden="1" customHeight="1" x14ac:dyDescent="0.2">
      <c r="A56" s="204" t="s">
        <v>76</v>
      </c>
      <c r="B56" s="206" t="s">
        <v>103</v>
      </c>
      <c r="C56" s="206" t="s">
        <v>104</v>
      </c>
      <c r="D56" s="206" t="s">
        <v>5</v>
      </c>
      <c r="E56" s="206" t="s">
        <v>86</v>
      </c>
      <c r="F56" s="207" t="s">
        <v>81</v>
      </c>
      <c r="G56" s="208" t="s">
        <v>87</v>
      </c>
      <c r="I56" s="4"/>
      <c r="J56" s="4"/>
    </row>
    <row r="57" spans="1:21" ht="12.75" hidden="1" customHeight="1" x14ac:dyDescent="0.2">
      <c r="A57" s="209" t="s">
        <v>24</v>
      </c>
      <c r="B57" s="210" t="str">
        <f>CONCATENATE(B54,A58,B53," ",A53,B55*100,A56,A55)</f>
        <v>352/5128 (6,86%)</v>
      </c>
      <c r="C57" s="210" t="str">
        <f>CONCATENATE(C54,A58,C53," ",A53,C55*100,A56,A55)</f>
        <v>371/5123 (7,24%)</v>
      </c>
      <c r="D57" s="210" t="str">
        <f>CONCATENATE(D53," ",A53,D54,A54,D55,A55)</f>
        <v>0,95 (0,82-1,09)</v>
      </c>
      <c r="E57" s="210" t="str">
        <f>CONCATENATE(E53*100,A56," ",A53,E54*100,A56," ",A57," ",E55*100,A56,A55)</f>
        <v>0,38% (-0,62% a 1,37%)</v>
      </c>
      <c r="F57" s="210" t="str">
        <f>CONCATENATE(F53," ",A53,F54," ",A57," ",F55,A55)</f>
        <v>265 (73 a -162)</v>
      </c>
      <c r="G57" s="208" t="str">
        <f>CONCATENATE(G55*100,A56)</f>
        <v>11,25%</v>
      </c>
      <c r="I57" s="4"/>
      <c r="J57" s="4"/>
      <c r="N57" s="5"/>
      <c r="O57" s="5"/>
      <c r="T57" s="5"/>
      <c r="U57" s="5"/>
    </row>
    <row r="58" spans="1:21" ht="13.5" hidden="1" customHeight="1" thickBot="1" x14ac:dyDescent="0.25">
      <c r="A58" s="211" t="s">
        <v>82</v>
      </c>
      <c r="B58" s="212"/>
      <c r="C58" s="212"/>
      <c r="D58" s="212"/>
      <c r="E58" s="212"/>
      <c r="F58" s="212"/>
      <c r="G58" s="213"/>
      <c r="I58" s="4"/>
      <c r="J58" s="4"/>
      <c r="N58" s="5"/>
      <c r="O58" s="5"/>
      <c r="T58" s="5"/>
      <c r="U58" s="5"/>
    </row>
    <row r="59" spans="1:21" x14ac:dyDescent="0.2">
      <c r="K59" s="4"/>
      <c r="N59" s="5"/>
      <c r="O59" s="5"/>
      <c r="T59" s="5"/>
      <c r="U59" s="5"/>
    </row>
    <row r="60" spans="1:21" ht="27" customHeight="1" x14ac:dyDescent="0.2">
      <c r="B60" s="214" t="s">
        <v>103</v>
      </c>
      <c r="C60" s="214" t="s">
        <v>104</v>
      </c>
      <c r="D60" s="215" t="s">
        <v>77</v>
      </c>
      <c r="E60" s="215" t="s">
        <v>70</v>
      </c>
      <c r="F60" s="215" t="s">
        <v>71</v>
      </c>
      <c r="G60" s="215" t="s">
        <v>88</v>
      </c>
      <c r="H60" s="216"/>
      <c r="I60" s="215" t="s">
        <v>220</v>
      </c>
      <c r="K60" s="217"/>
      <c r="N60" s="5"/>
      <c r="O60" s="5"/>
      <c r="T60" s="5"/>
      <c r="U60" s="5"/>
    </row>
    <row r="61" spans="1:21" ht="23.25" customHeight="1" x14ac:dyDescent="0.2">
      <c r="B61" s="218" t="str">
        <f t="shared" ref="B61:G61" si="0">B57</f>
        <v>352/5128 (6,86%)</v>
      </c>
      <c r="C61" s="218" t="str">
        <f t="shared" si="0"/>
        <v>371/5123 (7,24%)</v>
      </c>
      <c r="D61" s="218" t="str">
        <f t="shared" si="0"/>
        <v>0,95 (0,82-1,09)</v>
      </c>
      <c r="E61" s="218" t="str">
        <f t="shared" si="0"/>
        <v>0,38% (-0,62% a 1,37%)</v>
      </c>
      <c r="F61" s="218" t="str">
        <f t="shared" si="0"/>
        <v>265 (73 a -162)</v>
      </c>
      <c r="G61" s="218" t="str">
        <f t="shared" si="0"/>
        <v>11,25%</v>
      </c>
      <c r="H61" s="352"/>
      <c r="I61" s="353">
        <f>B48</f>
        <v>0.45534078757916086</v>
      </c>
      <c r="K61" s="219"/>
      <c r="N61" s="5"/>
      <c r="O61" s="5"/>
      <c r="T61" s="5"/>
      <c r="U61" s="5"/>
    </row>
    <row r="62" spans="1:21" x14ac:dyDescent="0.2">
      <c r="K62" s="4"/>
    </row>
    <row r="63" spans="1:21" ht="16.5" thickBot="1" x14ac:dyDescent="0.3">
      <c r="B63" s="4"/>
      <c r="C63" s="4"/>
      <c r="D63" s="4"/>
      <c r="E63" s="4"/>
      <c r="F63" s="4"/>
      <c r="G63" s="4"/>
      <c r="H63" s="4"/>
      <c r="I63" s="4"/>
      <c r="J63" s="220"/>
      <c r="K63" s="4"/>
      <c r="L63" s="4"/>
      <c r="M63" s="4"/>
      <c r="N63" s="4"/>
    </row>
    <row r="64" spans="1:21" ht="25.5" customHeight="1" thickBot="1" x14ac:dyDescent="0.3">
      <c r="A64" s="846" t="s">
        <v>300</v>
      </c>
      <c r="B64" s="847"/>
      <c r="C64" s="847"/>
      <c r="D64" s="847"/>
      <c r="E64" s="847"/>
      <c r="F64" s="847"/>
      <c r="G64" s="848"/>
      <c r="H64" s="4"/>
      <c r="J64" s="220"/>
      <c r="K64" s="4"/>
      <c r="L64" s="4"/>
      <c r="M64" s="4"/>
      <c r="N64" s="4"/>
    </row>
    <row r="65" spans="1:21" ht="26.25" thickBot="1" x14ac:dyDescent="0.3">
      <c r="A65" s="858" t="s">
        <v>134</v>
      </c>
      <c r="B65" s="225" t="s">
        <v>253</v>
      </c>
      <c r="C65" s="225" t="s">
        <v>254</v>
      </c>
      <c r="D65" s="862" t="s">
        <v>256</v>
      </c>
      <c r="E65" s="863"/>
      <c r="F65" s="863"/>
      <c r="G65" s="864"/>
      <c r="J65" s="220"/>
      <c r="K65" s="4"/>
      <c r="L65" s="4"/>
      <c r="M65" s="4"/>
      <c r="N65" s="4"/>
    </row>
    <row r="66" spans="1:21" ht="28.5" customHeight="1" thickBot="1" x14ac:dyDescent="0.25">
      <c r="A66" s="859"/>
      <c r="B66" s="221" t="s">
        <v>132</v>
      </c>
      <c r="C66" s="221" t="s">
        <v>133</v>
      </c>
      <c r="D66" s="222" t="s">
        <v>77</v>
      </c>
      <c r="E66" s="222" t="s">
        <v>252</v>
      </c>
      <c r="F66" s="358" t="s">
        <v>251</v>
      </c>
      <c r="G66" s="223" t="s">
        <v>88</v>
      </c>
      <c r="J66" s="4"/>
      <c r="K66" s="4"/>
      <c r="L66" s="4"/>
      <c r="M66" s="4"/>
      <c r="N66" s="4"/>
    </row>
    <row r="67" spans="1:21" s="276" customFormat="1" ht="21" customHeight="1" thickBot="1" x14ac:dyDescent="0.25">
      <c r="A67" s="272" t="s">
        <v>191</v>
      </c>
      <c r="B67" s="273"/>
      <c r="C67" s="273"/>
      <c r="D67" s="273" t="s">
        <v>245</v>
      </c>
      <c r="E67" s="273"/>
      <c r="F67" s="273"/>
      <c r="G67" s="273"/>
      <c r="I67" s="273"/>
      <c r="J67" s="274"/>
      <c r="K67" s="274"/>
      <c r="L67" s="274"/>
      <c r="M67" s="274"/>
      <c r="N67" s="274"/>
      <c r="O67" s="275"/>
      <c r="T67" s="275"/>
      <c r="U67" s="275"/>
    </row>
    <row r="68" spans="1:21" s="276" customFormat="1" ht="21" customHeight="1" thickBot="1" x14ac:dyDescent="0.25">
      <c r="A68" s="277" t="s">
        <v>197</v>
      </c>
      <c r="B68" s="278" t="s">
        <v>273</v>
      </c>
      <c r="C68" s="278" t="s">
        <v>274</v>
      </c>
      <c r="D68" s="279" t="s">
        <v>107</v>
      </c>
      <c r="E68" s="280" t="s">
        <v>121</v>
      </c>
      <c r="F68" s="280" t="s">
        <v>275</v>
      </c>
      <c r="G68" s="281">
        <v>0.1125</v>
      </c>
      <c r="I68" s="273"/>
      <c r="J68" s="274"/>
      <c r="K68" s="274"/>
      <c r="L68" s="274"/>
      <c r="M68" s="274"/>
      <c r="N68" s="274"/>
      <c r="O68" s="275"/>
      <c r="T68" s="275"/>
      <c r="U68" s="275"/>
    </row>
    <row r="69" spans="1:21" s="276" customFormat="1" ht="21" customHeight="1" thickBot="1" x14ac:dyDescent="0.25">
      <c r="A69" s="272" t="s">
        <v>108</v>
      </c>
      <c r="B69" s="282"/>
      <c r="C69" s="282"/>
      <c r="D69" s="273"/>
      <c r="E69" s="283"/>
      <c r="F69" s="283"/>
      <c r="G69" s="273"/>
      <c r="I69" s="273"/>
      <c r="N69" s="275"/>
      <c r="O69" s="275"/>
      <c r="T69" s="275"/>
      <c r="U69" s="275"/>
    </row>
    <row r="70" spans="1:21" s="276" customFormat="1" ht="21" customHeight="1" x14ac:dyDescent="0.2">
      <c r="A70" s="284" t="s">
        <v>109</v>
      </c>
      <c r="B70" s="285" t="s">
        <v>276</v>
      </c>
      <c r="C70" s="285" t="s">
        <v>413</v>
      </c>
      <c r="D70" s="285" t="s">
        <v>414</v>
      </c>
      <c r="E70" s="286" t="s">
        <v>415</v>
      </c>
      <c r="F70" s="673" t="s">
        <v>416</v>
      </c>
      <c r="G70" s="287">
        <v>0.7278</v>
      </c>
      <c r="I70" s="274"/>
      <c r="J70" s="275"/>
      <c r="K70" s="275"/>
      <c r="L70" s="275"/>
      <c r="M70" s="275"/>
      <c r="N70" s="275"/>
      <c r="O70" s="275">
        <f>N70*3.8</f>
        <v>0</v>
      </c>
      <c r="T70" s="275"/>
      <c r="U70" s="275"/>
    </row>
    <row r="71" spans="1:21" s="276" customFormat="1" ht="21" customHeight="1" x14ac:dyDescent="0.2">
      <c r="A71" s="288" t="s">
        <v>110</v>
      </c>
      <c r="B71" s="289" t="s">
        <v>277</v>
      </c>
      <c r="C71" s="289" t="s">
        <v>278</v>
      </c>
      <c r="D71" s="289" t="s">
        <v>112</v>
      </c>
      <c r="E71" s="290" t="s">
        <v>279</v>
      </c>
      <c r="F71" s="344" t="s">
        <v>280</v>
      </c>
      <c r="G71" s="291">
        <v>0.78029999999999999</v>
      </c>
      <c r="I71" s="274"/>
      <c r="J71" s="275"/>
      <c r="K71" s="275"/>
      <c r="L71" s="275"/>
      <c r="M71" s="275"/>
      <c r="N71" s="275"/>
      <c r="O71" s="275">
        <f>N71*3.8</f>
        <v>0</v>
      </c>
      <c r="T71" s="275"/>
      <c r="U71" s="275"/>
    </row>
    <row r="72" spans="1:21" s="276" customFormat="1" ht="21" customHeight="1" x14ac:dyDescent="0.2">
      <c r="A72" s="288" t="s">
        <v>113</v>
      </c>
      <c r="B72" s="289" t="s">
        <v>281</v>
      </c>
      <c r="C72" s="289" t="s">
        <v>282</v>
      </c>
      <c r="D72" s="289" t="s">
        <v>128</v>
      </c>
      <c r="E72" s="290" t="s">
        <v>122</v>
      </c>
      <c r="F72" s="345" t="s">
        <v>125</v>
      </c>
      <c r="G72" s="292">
        <v>0.68779999999999997</v>
      </c>
      <c r="I72" s="274"/>
      <c r="J72" s="275"/>
      <c r="K72" s="275"/>
      <c r="L72" s="275"/>
      <c r="M72" s="275"/>
      <c r="N72" s="275"/>
      <c r="O72" s="275">
        <f>N72*3.8</f>
        <v>0</v>
      </c>
      <c r="T72" s="275"/>
      <c r="U72" s="275"/>
    </row>
    <row r="73" spans="1:21" s="276" customFormat="1" ht="21" customHeight="1" x14ac:dyDescent="0.2">
      <c r="A73" s="293" t="s">
        <v>115</v>
      </c>
      <c r="B73" s="289" t="s">
        <v>273</v>
      </c>
      <c r="C73" s="289" t="s">
        <v>274</v>
      </c>
      <c r="D73" s="289" t="s">
        <v>107</v>
      </c>
      <c r="E73" s="290" t="s">
        <v>121</v>
      </c>
      <c r="F73" s="290" t="s">
        <v>275</v>
      </c>
      <c r="G73" s="292">
        <v>0.1125</v>
      </c>
      <c r="I73" s="273"/>
      <c r="J73" s="275"/>
      <c r="N73" s="275"/>
      <c r="O73" s="275"/>
      <c r="T73" s="275"/>
      <c r="U73" s="275"/>
    </row>
    <row r="74" spans="1:21" s="276" customFormat="1" ht="21" customHeight="1" thickBot="1" x14ac:dyDescent="0.25">
      <c r="A74" s="406" t="s">
        <v>117</v>
      </c>
      <c r="B74" s="294" t="s">
        <v>283</v>
      </c>
      <c r="C74" s="294" t="s">
        <v>284</v>
      </c>
      <c r="D74" s="295" t="s">
        <v>119</v>
      </c>
      <c r="E74" s="296" t="s">
        <v>123</v>
      </c>
      <c r="F74" s="296" t="s">
        <v>120</v>
      </c>
      <c r="G74" s="297">
        <v>0.3977</v>
      </c>
      <c r="I74" s="273"/>
      <c r="J74" s="275"/>
      <c r="N74" s="275"/>
      <c r="O74" s="275"/>
      <c r="T74" s="275"/>
      <c r="U74" s="275"/>
    </row>
    <row r="75" spans="1:21" s="276" customFormat="1" ht="21" customHeight="1" thickBot="1" x14ac:dyDescent="0.25">
      <c r="A75" s="857" t="s">
        <v>158</v>
      </c>
      <c r="B75" s="857"/>
      <c r="C75" s="857"/>
      <c r="E75" s="321"/>
      <c r="F75" s="321"/>
      <c r="J75" s="275"/>
      <c r="N75" s="275"/>
      <c r="O75" s="275"/>
      <c r="T75" s="275"/>
      <c r="U75" s="275"/>
    </row>
    <row r="76" spans="1:21" s="276" customFormat="1" ht="27" customHeight="1" x14ac:dyDescent="0.2">
      <c r="A76" s="408" t="s">
        <v>162</v>
      </c>
      <c r="B76" s="285" t="s">
        <v>137</v>
      </c>
      <c r="C76" s="299" t="s">
        <v>138</v>
      </c>
      <c r="D76" s="285" t="s">
        <v>160</v>
      </c>
      <c r="E76" s="286" t="s">
        <v>161</v>
      </c>
      <c r="F76" s="300" t="s">
        <v>139</v>
      </c>
      <c r="G76" s="301">
        <v>1</v>
      </c>
      <c r="J76" s="275"/>
      <c r="N76" s="275"/>
      <c r="O76" s="275"/>
      <c r="T76" s="275"/>
      <c r="U76" s="275"/>
    </row>
    <row r="77" spans="1:21" s="276" customFormat="1" ht="24" customHeight="1" thickBot="1" x14ac:dyDescent="0.25">
      <c r="A77" s="409" t="s">
        <v>163</v>
      </c>
      <c r="B77" s="295" t="s">
        <v>140</v>
      </c>
      <c r="C77" s="303" t="s">
        <v>141</v>
      </c>
      <c r="D77" s="295" t="s">
        <v>142</v>
      </c>
      <c r="E77" s="296" t="s">
        <v>143</v>
      </c>
      <c r="F77" s="304" t="s">
        <v>144</v>
      </c>
      <c r="G77" s="305">
        <v>1</v>
      </c>
      <c r="J77" s="275"/>
      <c r="N77" s="275"/>
      <c r="O77" s="275"/>
      <c r="T77" s="275"/>
      <c r="U77" s="275"/>
    </row>
    <row r="78" spans="1:21" s="273" customFormat="1" ht="9.75" customHeight="1" thickBot="1" x14ac:dyDescent="0.25">
      <c r="A78" s="306"/>
      <c r="B78" s="307"/>
      <c r="C78" s="307"/>
      <c r="D78" s="307"/>
      <c r="E78" s="308"/>
      <c r="F78" s="309"/>
      <c r="G78" s="310"/>
      <c r="J78" s="274"/>
      <c r="N78" s="274"/>
      <c r="O78" s="274"/>
      <c r="T78" s="274"/>
      <c r="U78" s="274"/>
    </row>
    <row r="79" spans="1:21" s="276" customFormat="1" ht="21" customHeight="1" x14ac:dyDescent="0.2">
      <c r="A79" s="298" t="s">
        <v>135</v>
      </c>
      <c r="B79" s="285" t="s">
        <v>145</v>
      </c>
      <c r="C79" s="299" t="s">
        <v>146</v>
      </c>
      <c r="D79" s="299" t="s">
        <v>147</v>
      </c>
      <c r="E79" s="286" t="s">
        <v>148</v>
      </c>
      <c r="F79" s="311" t="s">
        <v>149</v>
      </c>
      <c r="G79" s="312">
        <v>0.1794</v>
      </c>
      <c r="N79" s="275"/>
      <c r="O79" s="275"/>
      <c r="T79" s="275"/>
      <c r="U79" s="275"/>
    </row>
    <row r="80" spans="1:21" s="276" customFormat="1" ht="19.5" customHeight="1" x14ac:dyDescent="0.2">
      <c r="A80" s="407" t="s">
        <v>164</v>
      </c>
      <c r="B80" s="289" t="s">
        <v>153</v>
      </c>
      <c r="C80" s="314" t="s">
        <v>154</v>
      </c>
      <c r="D80" s="314" t="s">
        <v>155</v>
      </c>
      <c r="E80" s="290" t="s">
        <v>156</v>
      </c>
      <c r="F80" s="344" t="s">
        <v>157</v>
      </c>
      <c r="G80" s="315">
        <v>0.60840000000000005</v>
      </c>
      <c r="N80" s="275"/>
      <c r="O80" s="275"/>
      <c r="T80" s="275"/>
      <c r="U80" s="275"/>
    </row>
    <row r="81" spans="1:21" s="276" customFormat="1" ht="21" customHeight="1" thickBot="1" x14ac:dyDescent="0.25">
      <c r="A81" s="302" t="s">
        <v>136</v>
      </c>
      <c r="B81" s="295" t="s">
        <v>204</v>
      </c>
      <c r="C81" s="303" t="s">
        <v>205</v>
      </c>
      <c r="D81" s="319" t="s">
        <v>150</v>
      </c>
      <c r="E81" s="296" t="s">
        <v>206</v>
      </c>
      <c r="F81" s="304" t="s">
        <v>207</v>
      </c>
      <c r="G81" s="316">
        <v>0.93869999999999998</v>
      </c>
      <c r="N81" s="275"/>
      <c r="O81" s="275"/>
      <c r="T81" s="275"/>
      <c r="U81" s="275"/>
    </row>
    <row r="82" spans="1:21" s="273" customFormat="1" ht="21" customHeight="1" thickBot="1" x14ac:dyDescent="0.25">
      <c r="A82" s="857" t="s">
        <v>168</v>
      </c>
      <c r="B82" s="857"/>
      <c r="C82" s="857"/>
      <c r="D82" s="307"/>
      <c r="E82" s="308"/>
      <c r="F82" s="309"/>
      <c r="G82" s="317"/>
      <c r="N82" s="274"/>
      <c r="O82" s="274"/>
      <c r="T82" s="274"/>
      <c r="U82" s="274"/>
    </row>
    <row r="83" spans="1:21" s="276" customFormat="1" ht="21" customHeight="1" x14ac:dyDescent="0.2">
      <c r="A83" s="298" t="s">
        <v>159</v>
      </c>
      <c r="B83" s="285" t="s">
        <v>208</v>
      </c>
      <c r="C83" s="299" t="s">
        <v>209</v>
      </c>
      <c r="D83" s="299" t="s">
        <v>151</v>
      </c>
      <c r="E83" s="286" t="s">
        <v>210</v>
      </c>
      <c r="F83" s="300" t="s">
        <v>152</v>
      </c>
      <c r="G83" s="301">
        <v>1</v>
      </c>
      <c r="N83" s="275"/>
      <c r="O83" s="275"/>
      <c r="T83" s="275"/>
      <c r="U83" s="275"/>
    </row>
    <row r="84" spans="1:21" s="276" customFormat="1" ht="21" customHeight="1" thickBot="1" x14ac:dyDescent="0.25">
      <c r="A84" s="318" t="s">
        <v>169</v>
      </c>
      <c r="B84" s="294" t="s">
        <v>170</v>
      </c>
      <c r="C84" s="319" t="s">
        <v>171</v>
      </c>
      <c r="D84" s="319" t="s">
        <v>172</v>
      </c>
      <c r="E84" s="322" t="s">
        <v>173</v>
      </c>
      <c r="F84" s="322" t="s">
        <v>174</v>
      </c>
      <c r="G84" s="320">
        <v>0.63970000000000005</v>
      </c>
      <c r="N84" s="275"/>
      <c r="O84" s="275"/>
      <c r="T84" s="275"/>
      <c r="U84" s="275"/>
    </row>
    <row r="87" spans="1:21" ht="13.5" thickBot="1" x14ac:dyDescent="0.25">
      <c r="A87" s="24"/>
      <c r="B87" s="2"/>
      <c r="C87" s="2"/>
      <c r="E87" s="188"/>
    </row>
    <row r="88" spans="1:21" ht="30.75" customHeight="1" thickBot="1" x14ac:dyDescent="0.25">
      <c r="A88" s="865" t="s">
        <v>301</v>
      </c>
      <c r="B88" s="866"/>
      <c r="C88" s="866"/>
      <c r="D88" s="867"/>
      <c r="E88" s="23"/>
    </row>
    <row r="89" spans="1:21" ht="27.75" customHeight="1" x14ac:dyDescent="0.2">
      <c r="A89" s="853"/>
      <c r="B89" s="458" t="s">
        <v>211</v>
      </c>
      <c r="C89" s="458" t="s">
        <v>212</v>
      </c>
      <c r="D89" s="860" t="s">
        <v>299</v>
      </c>
    </row>
    <row r="90" spans="1:21" ht="23.25" customHeight="1" thickBot="1" x14ac:dyDescent="0.25">
      <c r="A90" s="854"/>
      <c r="B90" s="459" t="s">
        <v>132</v>
      </c>
      <c r="C90" s="459" t="s">
        <v>133</v>
      </c>
      <c r="D90" s="861"/>
    </row>
    <row r="91" spans="1:21" ht="20.100000000000001" customHeight="1" x14ac:dyDescent="0.2">
      <c r="A91" s="460" t="s">
        <v>162</v>
      </c>
      <c r="B91" s="456">
        <v>1.2742614967756609E-2</v>
      </c>
      <c r="C91" s="457">
        <v>4.2437811220494065E-3</v>
      </c>
      <c r="D91" s="461">
        <v>3.1075040869045796E-6</v>
      </c>
    </row>
    <row r="92" spans="1:21" ht="20.100000000000001" customHeight="1" x14ac:dyDescent="0.2">
      <c r="A92" s="407" t="s">
        <v>163</v>
      </c>
      <c r="B92" s="342">
        <v>1.9658681084085472E-2</v>
      </c>
      <c r="C92" s="333">
        <v>6.1878596248876828E-3</v>
      </c>
      <c r="D92" s="462">
        <v>2.0151476578957385E-9</v>
      </c>
    </row>
    <row r="93" spans="1:21" ht="20.100000000000001" customHeight="1" x14ac:dyDescent="0.2">
      <c r="A93" s="328" t="s">
        <v>117</v>
      </c>
      <c r="B93" s="333">
        <v>3.6001440057602304E-3</v>
      </c>
      <c r="C93" s="333">
        <v>2.939826028682271E-3</v>
      </c>
      <c r="D93" s="462">
        <v>0.53355134843831431</v>
      </c>
    </row>
    <row r="94" spans="1:21" ht="20.100000000000001" customHeight="1" x14ac:dyDescent="0.2">
      <c r="A94" s="313" t="s">
        <v>135</v>
      </c>
      <c r="B94" s="333">
        <v>2.1719002759922168E-4</v>
      </c>
      <c r="C94" s="333">
        <v>3.3191584194799825E-4</v>
      </c>
      <c r="D94" s="462">
        <v>0.31068325668771912</v>
      </c>
    </row>
    <row r="95" spans="1:21" ht="20.100000000000001" customHeight="1" x14ac:dyDescent="0.2">
      <c r="A95" s="407" t="s">
        <v>164</v>
      </c>
      <c r="B95" s="333">
        <v>2.6764228463875394E-3</v>
      </c>
      <c r="C95" s="333">
        <v>1.9440785028382759E-3</v>
      </c>
      <c r="D95" s="462">
        <v>0.3978891394289773</v>
      </c>
    </row>
    <row r="96" spans="1:21" ht="20.100000000000001" customHeight="1" x14ac:dyDescent="0.2">
      <c r="A96" s="313" t="s">
        <v>136</v>
      </c>
      <c r="B96" s="333">
        <v>8.5113986079540682E-2</v>
      </c>
      <c r="C96" s="333">
        <v>8.0086551007167023E-2</v>
      </c>
      <c r="D96" s="462">
        <v>0.35783517753026961</v>
      </c>
    </row>
    <row r="97" spans="1:4" ht="20.100000000000001" customHeight="1" thickBot="1" x14ac:dyDescent="0.25">
      <c r="A97" s="302" t="s">
        <v>159</v>
      </c>
      <c r="B97" s="343">
        <v>3.3740871393979549E-2</v>
      </c>
      <c r="C97" s="463">
        <v>1.6903999664923057E-2</v>
      </c>
      <c r="D97" s="464">
        <v>7.7694361548194913E-8</v>
      </c>
    </row>
    <row r="99" spans="1:4" ht="13.5" thickBot="1" x14ac:dyDescent="0.25"/>
    <row r="100" spans="1:4" ht="24.75" customHeight="1" thickBot="1" x14ac:dyDescent="0.25">
      <c r="A100" s="843" t="s">
        <v>302</v>
      </c>
      <c r="B100" s="844"/>
      <c r="C100" s="845"/>
    </row>
    <row r="101" spans="1:4" ht="20.100000000000001" customHeight="1" thickBot="1" x14ac:dyDescent="0.25">
      <c r="A101" s="742"/>
      <c r="B101" s="743" t="s">
        <v>303</v>
      </c>
      <c r="C101" s="744" t="s">
        <v>304</v>
      </c>
    </row>
    <row r="102" spans="1:4" ht="5.25" customHeight="1" thickBot="1" x14ac:dyDescent="0.25">
      <c r="A102" s="742"/>
      <c r="B102" s="745"/>
      <c r="C102" s="746"/>
    </row>
    <row r="103" spans="1:4" ht="20.100000000000001" customHeight="1" x14ac:dyDescent="0.2">
      <c r="A103" s="747" t="s">
        <v>192</v>
      </c>
      <c r="B103" s="748">
        <v>8.1000000000000003E-2</v>
      </c>
      <c r="C103" s="749">
        <v>8.1000000000000003E-2</v>
      </c>
    </row>
    <row r="104" spans="1:4" ht="20.100000000000001" customHeight="1" x14ac:dyDescent="0.2">
      <c r="A104" s="750" t="s">
        <v>193</v>
      </c>
      <c r="B104" s="751" t="s">
        <v>194</v>
      </c>
      <c r="C104" s="752" t="s">
        <v>195</v>
      </c>
    </row>
    <row r="105" spans="1:4" ht="20.100000000000001" customHeight="1" thickBot="1" x14ac:dyDescent="0.25">
      <c r="A105" s="753" t="s">
        <v>305</v>
      </c>
      <c r="B105" s="754">
        <v>1.7000000000000001E-2</v>
      </c>
      <c r="C105" s="755">
        <v>6.0000000000000001E-3</v>
      </c>
    </row>
    <row r="106" spans="1:4" ht="3.75" customHeight="1" thickBot="1" x14ac:dyDescent="0.25">
      <c r="A106" s="756"/>
      <c r="B106" s="757"/>
      <c r="C106" s="757"/>
    </row>
    <row r="107" spans="1:4" ht="20.100000000000001" customHeight="1" x14ac:dyDescent="0.2">
      <c r="A107" s="747" t="s">
        <v>190</v>
      </c>
      <c r="B107" s="758" t="s">
        <v>187</v>
      </c>
      <c r="C107" s="759" t="s">
        <v>188</v>
      </c>
    </row>
    <row r="108" spans="1:4" ht="20.100000000000001" customHeight="1" x14ac:dyDescent="0.2">
      <c r="A108" s="750" t="s">
        <v>189</v>
      </c>
      <c r="B108" s="751">
        <v>97</v>
      </c>
      <c r="C108" s="752">
        <v>94</v>
      </c>
    </row>
    <row r="109" spans="1:4" ht="20.100000000000001" customHeight="1" thickBot="1" x14ac:dyDescent="0.25">
      <c r="A109" s="753" t="s">
        <v>437</v>
      </c>
      <c r="B109" s="760">
        <v>3.5</v>
      </c>
      <c r="C109" s="761">
        <v>0.4</v>
      </c>
    </row>
    <row r="110" spans="1:4" ht="20.100000000000001" customHeight="1" x14ac:dyDescent="0.2"/>
  </sheetData>
  <mergeCells count="12">
    <mergeCell ref="A100:C100"/>
    <mergeCell ref="A64:G64"/>
    <mergeCell ref="A1:I1"/>
    <mergeCell ref="A2:I2"/>
    <mergeCell ref="A89:A90"/>
    <mergeCell ref="B43:C43"/>
    <mergeCell ref="A82:C82"/>
    <mergeCell ref="A75:C75"/>
    <mergeCell ref="A65:A66"/>
    <mergeCell ref="D89:D90"/>
    <mergeCell ref="D65:G65"/>
    <mergeCell ref="A88:D88"/>
  </mergeCells>
  <phoneticPr fontId="2" type="noConversion"/>
  <pageMargins left="0.17" right="0.17" top="0.21" bottom="0.7" header="0" footer="0"/>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zoomScaleNormal="100" workbookViewId="0"/>
  </sheetViews>
  <sheetFormatPr baseColWidth="10" defaultRowHeight="12.75" x14ac:dyDescent="0.2"/>
  <cols>
    <col min="1" max="1" width="7.5703125" style="5" customWidth="1"/>
    <col min="2" max="2" width="22.7109375" style="5" customWidth="1"/>
    <col min="3" max="3" width="13.7109375" style="5" customWidth="1"/>
    <col min="4" max="4" width="16.42578125" style="5" customWidth="1"/>
    <col min="5" max="5" width="20.7109375" style="5" customWidth="1"/>
    <col min="6" max="6" width="23.85546875" style="5" customWidth="1"/>
    <col min="7" max="7" width="18.85546875" style="5" customWidth="1"/>
    <col min="8" max="8" width="8.28515625" style="5" customWidth="1"/>
    <col min="9" max="9" width="14.5703125" style="5" bestFit="1" customWidth="1"/>
    <col min="10" max="10" width="14.140625" style="12" bestFit="1" customWidth="1"/>
    <col min="11" max="11" width="16" style="12" customWidth="1"/>
    <col min="12" max="12" width="21.7109375" style="5" customWidth="1"/>
    <col min="13" max="13" width="16.7109375" style="5" customWidth="1"/>
    <col min="14" max="14" width="13.85546875" style="5" bestFit="1" customWidth="1"/>
    <col min="15" max="15" width="11.42578125" style="5"/>
    <col min="16" max="17" width="11.42578125" style="12"/>
    <col min="18" max="256" width="11.42578125" style="5"/>
    <col min="257" max="257" width="12.85546875" style="5" customWidth="1"/>
    <col min="258" max="258" width="18.28515625" style="5" customWidth="1"/>
    <col min="259" max="259" width="13.7109375" style="5" customWidth="1"/>
    <col min="260" max="260" width="16.42578125" style="5" customWidth="1"/>
    <col min="261" max="261" width="20.7109375" style="5" customWidth="1"/>
    <col min="262" max="262" width="23.85546875" style="5" customWidth="1"/>
    <col min="263" max="263" width="18.85546875" style="5" customWidth="1"/>
    <col min="264" max="264" width="8.28515625" style="5" customWidth="1"/>
    <col min="265" max="265" width="14.5703125" style="5" bestFit="1" customWidth="1"/>
    <col min="266" max="266" width="14.140625" style="5" bestFit="1" customWidth="1"/>
    <col min="267" max="267" width="11.42578125" style="5"/>
    <col min="268" max="268" width="15.5703125" style="5" customWidth="1"/>
    <col min="269" max="269" width="11.42578125" style="5"/>
    <col min="270" max="270" width="13.85546875" style="5" bestFit="1" customWidth="1"/>
    <col min="271" max="512" width="11.42578125" style="5"/>
    <col min="513" max="513" width="12.85546875" style="5" customWidth="1"/>
    <col min="514" max="514" width="18.28515625" style="5" customWidth="1"/>
    <col min="515" max="515" width="13.7109375" style="5" customWidth="1"/>
    <col min="516" max="516" width="16.42578125" style="5" customWidth="1"/>
    <col min="517" max="517" width="20.7109375" style="5" customWidth="1"/>
    <col min="518" max="518" width="23.85546875" style="5" customWidth="1"/>
    <col min="519" max="519" width="18.85546875" style="5" customWidth="1"/>
    <col min="520" max="520" width="8.28515625" style="5" customWidth="1"/>
    <col min="521" max="521" width="14.5703125" style="5" bestFit="1" customWidth="1"/>
    <col min="522" max="522" width="14.140625" style="5" bestFit="1" customWidth="1"/>
    <col min="523" max="523" width="11.42578125" style="5"/>
    <col min="524" max="524" width="15.5703125" style="5" customWidth="1"/>
    <col min="525" max="525" width="11.42578125" style="5"/>
    <col min="526" max="526" width="13.85546875" style="5" bestFit="1" customWidth="1"/>
    <col min="527" max="768" width="11.42578125" style="5"/>
    <col min="769" max="769" width="12.85546875" style="5" customWidth="1"/>
    <col min="770" max="770" width="18.28515625" style="5" customWidth="1"/>
    <col min="771" max="771" width="13.7109375" style="5" customWidth="1"/>
    <col min="772" max="772" width="16.42578125" style="5" customWidth="1"/>
    <col min="773" max="773" width="20.7109375" style="5" customWidth="1"/>
    <col min="774" max="774" width="23.85546875" style="5" customWidth="1"/>
    <col min="775" max="775" width="18.85546875" style="5" customWidth="1"/>
    <col min="776" max="776" width="8.28515625" style="5" customWidth="1"/>
    <col min="777" max="777" width="14.5703125" style="5" bestFit="1" customWidth="1"/>
    <col min="778" max="778" width="14.140625" style="5" bestFit="1" customWidth="1"/>
    <col min="779" max="779" width="11.42578125" style="5"/>
    <col min="780" max="780" width="15.5703125" style="5" customWidth="1"/>
    <col min="781" max="781" width="11.42578125" style="5"/>
    <col min="782" max="782" width="13.85546875" style="5" bestFit="1" customWidth="1"/>
    <col min="783" max="1024" width="11.42578125" style="5"/>
    <col min="1025" max="1025" width="12.85546875" style="5" customWidth="1"/>
    <col min="1026" max="1026" width="18.28515625" style="5" customWidth="1"/>
    <col min="1027" max="1027" width="13.7109375" style="5" customWidth="1"/>
    <col min="1028" max="1028" width="16.42578125" style="5" customWidth="1"/>
    <col min="1029" max="1029" width="20.7109375" style="5" customWidth="1"/>
    <col min="1030" max="1030" width="23.85546875" style="5" customWidth="1"/>
    <col min="1031" max="1031" width="18.85546875" style="5" customWidth="1"/>
    <col min="1032" max="1032" width="8.28515625" style="5" customWidth="1"/>
    <col min="1033" max="1033" width="14.5703125" style="5" bestFit="1" customWidth="1"/>
    <col min="1034" max="1034" width="14.140625" style="5" bestFit="1" customWidth="1"/>
    <col min="1035" max="1035" width="11.42578125" style="5"/>
    <col min="1036" max="1036" width="15.5703125" style="5" customWidth="1"/>
    <col min="1037" max="1037" width="11.42578125" style="5"/>
    <col min="1038" max="1038" width="13.85546875" style="5" bestFit="1" customWidth="1"/>
    <col min="1039" max="1280" width="11.42578125" style="5"/>
    <col min="1281" max="1281" width="12.85546875" style="5" customWidth="1"/>
    <col min="1282" max="1282" width="18.28515625" style="5" customWidth="1"/>
    <col min="1283" max="1283" width="13.7109375" style="5" customWidth="1"/>
    <col min="1284" max="1284" width="16.42578125" style="5" customWidth="1"/>
    <col min="1285" max="1285" width="20.7109375" style="5" customWidth="1"/>
    <col min="1286" max="1286" width="23.85546875" style="5" customWidth="1"/>
    <col min="1287" max="1287" width="18.85546875" style="5" customWidth="1"/>
    <col min="1288" max="1288" width="8.28515625" style="5" customWidth="1"/>
    <col min="1289" max="1289" width="14.5703125" style="5" bestFit="1" customWidth="1"/>
    <col min="1290" max="1290" width="14.140625" style="5" bestFit="1" customWidth="1"/>
    <col min="1291" max="1291" width="11.42578125" style="5"/>
    <col min="1292" max="1292" width="15.5703125" style="5" customWidth="1"/>
    <col min="1293" max="1293" width="11.42578125" style="5"/>
    <col min="1294" max="1294" width="13.85546875" style="5" bestFit="1" customWidth="1"/>
    <col min="1295" max="1536" width="11.42578125" style="5"/>
    <col min="1537" max="1537" width="12.85546875" style="5" customWidth="1"/>
    <col min="1538" max="1538" width="18.28515625" style="5" customWidth="1"/>
    <col min="1539" max="1539" width="13.7109375" style="5" customWidth="1"/>
    <col min="1540" max="1540" width="16.42578125" style="5" customWidth="1"/>
    <col min="1541" max="1541" width="20.7109375" style="5" customWidth="1"/>
    <col min="1542" max="1542" width="23.85546875" style="5" customWidth="1"/>
    <col min="1543" max="1543" width="18.85546875" style="5" customWidth="1"/>
    <col min="1544" max="1544" width="8.28515625" style="5" customWidth="1"/>
    <col min="1545" max="1545" width="14.5703125" style="5" bestFit="1" customWidth="1"/>
    <col min="1546" max="1546" width="14.140625" style="5" bestFit="1" customWidth="1"/>
    <col min="1547" max="1547" width="11.42578125" style="5"/>
    <col min="1548" max="1548" width="15.5703125" style="5" customWidth="1"/>
    <col min="1549" max="1549" width="11.42578125" style="5"/>
    <col min="1550" max="1550" width="13.85546875" style="5" bestFit="1" customWidth="1"/>
    <col min="1551" max="1792" width="11.42578125" style="5"/>
    <col min="1793" max="1793" width="12.85546875" style="5" customWidth="1"/>
    <col min="1794" max="1794" width="18.28515625" style="5" customWidth="1"/>
    <col min="1795" max="1795" width="13.7109375" style="5" customWidth="1"/>
    <col min="1796" max="1796" width="16.42578125" style="5" customWidth="1"/>
    <col min="1797" max="1797" width="20.7109375" style="5" customWidth="1"/>
    <col min="1798" max="1798" width="23.85546875" style="5" customWidth="1"/>
    <col min="1799" max="1799" width="18.85546875" style="5" customWidth="1"/>
    <col min="1800" max="1800" width="8.28515625" style="5" customWidth="1"/>
    <col min="1801" max="1801" width="14.5703125" style="5" bestFit="1" customWidth="1"/>
    <col min="1802" max="1802" width="14.140625" style="5" bestFit="1" customWidth="1"/>
    <col min="1803" max="1803" width="11.42578125" style="5"/>
    <col min="1804" max="1804" width="15.5703125" style="5" customWidth="1"/>
    <col min="1805" max="1805" width="11.42578125" style="5"/>
    <col min="1806" max="1806" width="13.85546875" style="5" bestFit="1" customWidth="1"/>
    <col min="1807" max="2048" width="11.42578125" style="5"/>
    <col min="2049" max="2049" width="12.85546875" style="5" customWidth="1"/>
    <col min="2050" max="2050" width="18.28515625" style="5" customWidth="1"/>
    <col min="2051" max="2051" width="13.7109375" style="5" customWidth="1"/>
    <col min="2052" max="2052" width="16.42578125" style="5" customWidth="1"/>
    <col min="2053" max="2053" width="20.7109375" style="5" customWidth="1"/>
    <col min="2054" max="2054" width="23.85546875" style="5" customWidth="1"/>
    <col min="2055" max="2055" width="18.85546875" style="5" customWidth="1"/>
    <col min="2056" max="2056" width="8.28515625" style="5" customWidth="1"/>
    <col min="2057" max="2057" width="14.5703125" style="5" bestFit="1" customWidth="1"/>
    <col min="2058" max="2058" width="14.140625" style="5" bestFit="1" customWidth="1"/>
    <col min="2059" max="2059" width="11.42578125" style="5"/>
    <col min="2060" max="2060" width="15.5703125" style="5" customWidth="1"/>
    <col min="2061" max="2061" width="11.42578125" style="5"/>
    <col min="2062" max="2062" width="13.85546875" style="5" bestFit="1" customWidth="1"/>
    <col min="2063" max="2304" width="11.42578125" style="5"/>
    <col min="2305" max="2305" width="12.85546875" style="5" customWidth="1"/>
    <col min="2306" max="2306" width="18.28515625" style="5" customWidth="1"/>
    <col min="2307" max="2307" width="13.7109375" style="5" customWidth="1"/>
    <col min="2308" max="2308" width="16.42578125" style="5" customWidth="1"/>
    <col min="2309" max="2309" width="20.7109375" style="5" customWidth="1"/>
    <col min="2310" max="2310" width="23.85546875" style="5" customWidth="1"/>
    <col min="2311" max="2311" width="18.85546875" style="5" customWidth="1"/>
    <col min="2312" max="2312" width="8.28515625" style="5" customWidth="1"/>
    <col min="2313" max="2313" width="14.5703125" style="5" bestFit="1" customWidth="1"/>
    <col min="2314" max="2314" width="14.140625" style="5" bestFit="1" customWidth="1"/>
    <col min="2315" max="2315" width="11.42578125" style="5"/>
    <col min="2316" max="2316" width="15.5703125" style="5" customWidth="1"/>
    <col min="2317" max="2317" width="11.42578125" style="5"/>
    <col min="2318" max="2318" width="13.85546875" style="5" bestFit="1" customWidth="1"/>
    <col min="2319" max="2560" width="11.42578125" style="5"/>
    <col min="2561" max="2561" width="12.85546875" style="5" customWidth="1"/>
    <col min="2562" max="2562" width="18.28515625" style="5" customWidth="1"/>
    <col min="2563" max="2563" width="13.7109375" style="5" customWidth="1"/>
    <col min="2564" max="2564" width="16.42578125" style="5" customWidth="1"/>
    <col min="2565" max="2565" width="20.7109375" style="5" customWidth="1"/>
    <col min="2566" max="2566" width="23.85546875" style="5" customWidth="1"/>
    <col min="2567" max="2567" width="18.85546875" style="5" customWidth="1"/>
    <col min="2568" max="2568" width="8.28515625" style="5" customWidth="1"/>
    <col min="2569" max="2569" width="14.5703125" style="5" bestFit="1" customWidth="1"/>
    <col min="2570" max="2570" width="14.140625" style="5" bestFit="1" customWidth="1"/>
    <col min="2571" max="2571" width="11.42578125" style="5"/>
    <col min="2572" max="2572" width="15.5703125" style="5" customWidth="1"/>
    <col min="2573" max="2573" width="11.42578125" style="5"/>
    <col min="2574" max="2574" width="13.85546875" style="5" bestFit="1" customWidth="1"/>
    <col min="2575" max="2816" width="11.42578125" style="5"/>
    <col min="2817" max="2817" width="12.85546875" style="5" customWidth="1"/>
    <col min="2818" max="2818" width="18.28515625" style="5" customWidth="1"/>
    <col min="2819" max="2819" width="13.7109375" style="5" customWidth="1"/>
    <col min="2820" max="2820" width="16.42578125" style="5" customWidth="1"/>
    <col min="2821" max="2821" width="20.7109375" style="5" customWidth="1"/>
    <col min="2822" max="2822" width="23.85546875" style="5" customWidth="1"/>
    <col min="2823" max="2823" width="18.85546875" style="5" customWidth="1"/>
    <col min="2824" max="2824" width="8.28515625" style="5" customWidth="1"/>
    <col min="2825" max="2825" width="14.5703125" style="5" bestFit="1" customWidth="1"/>
    <col min="2826" max="2826" width="14.140625" style="5" bestFit="1" customWidth="1"/>
    <col min="2827" max="2827" width="11.42578125" style="5"/>
    <col min="2828" max="2828" width="15.5703125" style="5" customWidth="1"/>
    <col min="2829" max="2829" width="11.42578125" style="5"/>
    <col min="2830" max="2830" width="13.85546875" style="5" bestFit="1" customWidth="1"/>
    <col min="2831" max="3072" width="11.42578125" style="5"/>
    <col min="3073" max="3073" width="12.85546875" style="5" customWidth="1"/>
    <col min="3074" max="3074" width="18.28515625" style="5" customWidth="1"/>
    <col min="3075" max="3075" width="13.7109375" style="5" customWidth="1"/>
    <col min="3076" max="3076" width="16.42578125" style="5" customWidth="1"/>
    <col min="3077" max="3077" width="20.7109375" style="5" customWidth="1"/>
    <col min="3078" max="3078" width="23.85546875" style="5" customWidth="1"/>
    <col min="3079" max="3079" width="18.85546875" style="5" customWidth="1"/>
    <col min="3080" max="3080" width="8.28515625" style="5" customWidth="1"/>
    <col min="3081" max="3081" width="14.5703125" style="5" bestFit="1" customWidth="1"/>
    <col min="3082" max="3082" width="14.140625" style="5" bestFit="1" customWidth="1"/>
    <col min="3083" max="3083" width="11.42578125" style="5"/>
    <col min="3084" max="3084" width="15.5703125" style="5" customWidth="1"/>
    <col min="3085" max="3085" width="11.42578125" style="5"/>
    <col min="3086" max="3086" width="13.85546875" style="5" bestFit="1" customWidth="1"/>
    <col min="3087" max="3328" width="11.42578125" style="5"/>
    <col min="3329" max="3329" width="12.85546875" style="5" customWidth="1"/>
    <col min="3330" max="3330" width="18.28515625" style="5" customWidth="1"/>
    <col min="3331" max="3331" width="13.7109375" style="5" customWidth="1"/>
    <col min="3332" max="3332" width="16.42578125" style="5" customWidth="1"/>
    <col min="3333" max="3333" width="20.7109375" style="5" customWidth="1"/>
    <col min="3334" max="3334" width="23.85546875" style="5" customWidth="1"/>
    <col min="3335" max="3335" width="18.85546875" style="5" customWidth="1"/>
    <col min="3336" max="3336" width="8.28515625" style="5" customWidth="1"/>
    <col min="3337" max="3337" width="14.5703125" style="5" bestFit="1" customWidth="1"/>
    <col min="3338" max="3338" width="14.140625" style="5" bestFit="1" customWidth="1"/>
    <col min="3339" max="3339" width="11.42578125" style="5"/>
    <col min="3340" max="3340" width="15.5703125" style="5" customWidth="1"/>
    <col min="3341" max="3341" width="11.42578125" style="5"/>
    <col min="3342" max="3342" width="13.85546875" style="5" bestFit="1" customWidth="1"/>
    <col min="3343" max="3584" width="11.42578125" style="5"/>
    <col min="3585" max="3585" width="12.85546875" style="5" customWidth="1"/>
    <col min="3586" max="3586" width="18.28515625" style="5" customWidth="1"/>
    <col min="3587" max="3587" width="13.7109375" style="5" customWidth="1"/>
    <col min="3588" max="3588" width="16.42578125" style="5" customWidth="1"/>
    <col min="3589" max="3589" width="20.7109375" style="5" customWidth="1"/>
    <col min="3590" max="3590" width="23.85546875" style="5" customWidth="1"/>
    <col min="3591" max="3591" width="18.85546875" style="5" customWidth="1"/>
    <col min="3592" max="3592" width="8.28515625" style="5" customWidth="1"/>
    <col min="3593" max="3593" width="14.5703125" style="5" bestFit="1" customWidth="1"/>
    <col min="3594" max="3594" width="14.140625" style="5" bestFit="1" customWidth="1"/>
    <col min="3595" max="3595" width="11.42578125" style="5"/>
    <col min="3596" max="3596" width="15.5703125" style="5" customWidth="1"/>
    <col min="3597" max="3597" width="11.42578125" style="5"/>
    <col min="3598" max="3598" width="13.85546875" style="5" bestFit="1" customWidth="1"/>
    <col min="3599" max="3840" width="11.42578125" style="5"/>
    <col min="3841" max="3841" width="12.85546875" style="5" customWidth="1"/>
    <col min="3842" max="3842" width="18.28515625" style="5" customWidth="1"/>
    <col min="3843" max="3843" width="13.7109375" style="5" customWidth="1"/>
    <col min="3844" max="3844" width="16.42578125" style="5" customWidth="1"/>
    <col min="3845" max="3845" width="20.7109375" style="5" customWidth="1"/>
    <col min="3846" max="3846" width="23.85546875" style="5" customWidth="1"/>
    <col min="3847" max="3847" width="18.85546875" style="5" customWidth="1"/>
    <col min="3848" max="3848" width="8.28515625" style="5" customWidth="1"/>
    <col min="3849" max="3849" width="14.5703125" style="5" bestFit="1" customWidth="1"/>
    <col min="3850" max="3850" width="14.140625" style="5" bestFit="1" customWidth="1"/>
    <col min="3851" max="3851" width="11.42578125" style="5"/>
    <col min="3852" max="3852" width="15.5703125" style="5" customWidth="1"/>
    <col min="3853" max="3853" width="11.42578125" style="5"/>
    <col min="3854" max="3854" width="13.85546875" style="5" bestFit="1" customWidth="1"/>
    <col min="3855" max="4096" width="11.42578125" style="5"/>
    <col min="4097" max="4097" width="12.85546875" style="5" customWidth="1"/>
    <col min="4098" max="4098" width="18.28515625" style="5" customWidth="1"/>
    <col min="4099" max="4099" width="13.7109375" style="5" customWidth="1"/>
    <col min="4100" max="4100" width="16.42578125" style="5" customWidth="1"/>
    <col min="4101" max="4101" width="20.7109375" style="5" customWidth="1"/>
    <col min="4102" max="4102" width="23.85546875" style="5" customWidth="1"/>
    <col min="4103" max="4103" width="18.85546875" style="5" customWidth="1"/>
    <col min="4104" max="4104" width="8.28515625" style="5" customWidth="1"/>
    <col min="4105" max="4105" width="14.5703125" style="5" bestFit="1" customWidth="1"/>
    <col min="4106" max="4106" width="14.140625" style="5" bestFit="1" customWidth="1"/>
    <col min="4107" max="4107" width="11.42578125" style="5"/>
    <col min="4108" max="4108" width="15.5703125" style="5" customWidth="1"/>
    <col min="4109" max="4109" width="11.42578125" style="5"/>
    <col min="4110" max="4110" width="13.85546875" style="5" bestFit="1" customWidth="1"/>
    <col min="4111" max="4352" width="11.42578125" style="5"/>
    <col min="4353" max="4353" width="12.85546875" style="5" customWidth="1"/>
    <col min="4354" max="4354" width="18.28515625" style="5" customWidth="1"/>
    <col min="4355" max="4355" width="13.7109375" style="5" customWidth="1"/>
    <col min="4356" max="4356" width="16.42578125" style="5" customWidth="1"/>
    <col min="4357" max="4357" width="20.7109375" style="5" customWidth="1"/>
    <col min="4358" max="4358" width="23.85546875" style="5" customWidth="1"/>
    <col min="4359" max="4359" width="18.85546875" style="5" customWidth="1"/>
    <col min="4360" max="4360" width="8.28515625" style="5" customWidth="1"/>
    <col min="4361" max="4361" width="14.5703125" style="5" bestFit="1" customWidth="1"/>
    <col min="4362" max="4362" width="14.140625" style="5" bestFit="1" customWidth="1"/>
    <col min="4363" max="4363" width="11.42578125" style="5"/>
    <col min="4364" max="4364" width="15.5703125" style="5" customWidth="1"/>
    <col min="4365" max="4365" width="11.42578125" style="5"/>
    <col min="4366" max="4366" width="13.85546875" style="5" bestFit="1" customWidth="1"/>
    <col min="4367" max="4608" width="11.42578125" style="5"/>
    <col min="4609" max="4609" width="12.85546875" style="5" customWidth="1"/>
    <col min="4610" max="4610" width="18.28515625" style="5" customWidth="1"/>
    <col min="4611" max="4611" width="13.7109375" style="5" customWidth="1"/>
    <col min="4612" max="4612" width="16.42578125" style="5" customWidth="1"/>
    <col min="4613" max="4613" width="20.7109375" style="5" customWidth="1"/>
    <col min="4614" max="4614" width="23.85546875" style="5" customWidth="1"/>
    <col min="4615" max="4615" width="18.85546875" style="5" customWidth="1"/>
    <col min="4616" max="4616" width="8.28515625" style="5" customWidth="1"/>
    <col min="4617" max="4617" width="14.5703125" style="5" bestFit="1" customWidth="1"/>
    <col min="4618" max="4618" width="14.140625" style="5" bestFit="1" customWidth="1"/>
    <col min="4619" max="4619" width="11.42578125" style="5"/>
    <col min="4620" max="4620" width="15.5703125" style="5" customWidth="1"/>
    <col min="4621" max="4621" width="11.42578125" style="5"/>
    <col min="4622" max="4622" width="13.85546875" style="5" bestFit="1" customWidth="1"/>
    <col min="4623" max="4864" width="11.42578125" style="5"/>
    <col min="4865" max="4865" width="12.85546875" style="5" customWidth="1"/>
    <col min="4866" max="4866" width="18.28515625" style="5" customWidth="1"/>
    <col min="4867" max="4867" width="13.7109375" style="5" customWidth="1"/>
    <col min="4868" max="4868" width="16.42578125" style="5" customWidth="1"/>
    <col min="4869" max="4869" width="20.7109375" style="5" customWidth="1"/>
    <col min="4870" max="4870" width="23.85546875" style="5" customWidth="1"/>
    <col min="4871" max="4871" width="18.85546875" style="5" customWidth="1"/>
    <col min="4872" max="4872" width="8.28515625" style="5" customWidth="1"/>
    <col min="4873" max="4873" width="14.5703125" style="5" bestFit="1" customWidth="1"/>
    <col min="4874" max="4874" width="14.140625" style="5" bestFit="1" customWidth="1"/>
    <col min="4875" max="4875" width="11.42578125" style="5"/>
    <col min="4876" max="4876" width="15.5703125" style="5" customWidth="1"/>
    <col min="4877" max="4877" width="11.42578125" style="5"/>
    <col min="4878" max="4878" width="13.85546875" style="5" bestFit="1" customWidth="1"/>
    <col min="4879" max="5120" width="11.42578125" style="5"/>
    <col min="5121" max="5121" width="12.85546875" style="5" customWidth="1"/>
    <col min="5122" max="5122" width="18.28515625" style="5" customWidth="1"/>
    <col min="5123" max="5123" width="13.7109375" style="5" customWidth="1"/>
    <col min="5124" max="5124" width="16.42578125" style="5" customWidth="1"/>
    <col min="5125" max="5125" width="20.7109375" style="5" customWidth="1"/>
    <col min="5126" max="5126" width="23.85546875" style="5" customWidth="1"/>
    <col min="5127" max="5127" width="18.85546875" style="5" customWidth="1"/>
    <col min="5128" max="5128" width="8.28515625" style="5" customWidth="1"/>
    <col min="5129" max="5129" width="14.5703125" style="5" bestFit="1" customWidth="1"/>
    <col min="5130" max="5130" width="14.140625" style="5" bestFit="1" customWidth="1"/>
    <col min="5131" max="5131" width="11.42578125" style="5"/>
    <col min="5132" max="5132" width="15.5703125" style="5" customWidth="1"/>
    <col min="5133" max="5133" width="11.42578125" style="5"/>
    <col min="5134" max="5134" width="13.85546875" style="5" bestFit="1" customWidth="1"/>
    <col min="5135" max="5376" width="11.42578125" style="5"/>
    <col min="5377" max="5377" width="12.85546875" style="5" customWidth="1"/>
    <col min="5378" max="5378" width="18.28515625" style="5" customWidth="1"/>
    <col min="5379" max="5379" width="13.7109375" style="5" customWidth="1"/>
    <col min="5380" max="5380" width="16.42578125" style="5" customWidth="1"/>
    <col min="5381" max="5381" width="20.7109375" style="5" customWidth="1"/>
    <col min="5382" max="5382" width="23.85546875" style="5" customWidth="1"/>
    <col min="5383" max="5383" width="18.85546875" style="5" customWidth="1"/>
    <col min="5384" max="5384" width="8.28515625" style="5" customWidth="1"/>
    <col min="5385" max="5385" width="14.5703125" style="5" bestFit="1" customWidth="1"/>
    <col min="5386" max="5386" width="14.140625" style="5" bestFit="1" customWidth="1"/>
    <col min="5387" max="5387" width="11.42578125" style="5"/>
    <col min="5388" max="5388" width="15.5703125" style="5" customWidth="1"/>
    <col min="5389" max="5389" width="11.42578125" style="5"/>
    <col min="5390" max="5390" width="13.85546875" style="5" bestFit="1" customWidth="1"/>
    <col min="5391" max="5632" width="11.42578125" style="5"/>
    <col min="5633" max="5633" width="12.85546875" style="5" customWidth="1"/>
    <col min="5634" max="5634" width="18.28515625" style="5" customWidth="1"/>
    <col min="5635" max="5635" width="13.7109375" style="5" customWidth="1"/>
    <col min="5636" max="5636" width="16.42578125" style="5" customWidth="1"/>
    <col min="5637" max="5637" width="20.7109375" style="5" customWidth="1"/>
    <col min="5638" max="5638" width="23.85546875" style="5" customWidth="1"/>
    <col min="5639" max="5639" width="18.85546875" style="5" customWidth="1"/>
    <col min="5640" max="5640" width="8.28515625" style="5" customWidth="1"/>
    <col min="5641" max="5641" width="14.5703125" style="5" bestFit="1" customWidth="1"/>
    <col min="5642" max="5642" width="14.140625" style="5" bestFit="1" customWidth="1"/>
    <col min="5643" max="5643" width="11.42578125" style="5"/>
    <col min="5644" max="5644" width="15.5703125" style="5" customWidth="1"/>
    <col min="5645" max="5645" width="11.42578125" style="5"/>
    <col min="5646" max="5646" width="13.85546875" style="5" bestFit="1" customWidth="1"/>
    <col min="5647" max="5888" width="11.42578125" style="5"/>
    <col min="5889" max="5889" width="12.85546875" style="5" customWidth="1"/>
    <col min="5890" max="5890" width="18.28515625" style="5" customWidth="1"/>
    <col min="5891" max="5891" width="13.7109375" style="5" customWidth="1"/>
    <col min="5892" max="5892" width="16.42578125" style="5" customWidth="1"/>
    <col min="5893" max="5893" width="20.7109375" style="5" customWidth="1"/>
    <col min="5894" max="5894" width="23.85546875" style="5" customWidth="1"/>
    <col min="5895" max="5895" width="18.85546875" style="5" customWidth="1"/>
    <col min="5896" max="5896" width="8.28515625" style="5" customWidth="1"/>
    <col min="5897" max="5897" width="14.5703125" style="5" bestFit="1" customWidth="1"/>
    <col min="5898" max="5898" width="14.140625" style="5" bestFit="1" customWidth="1"/>
    <col min="5899" max="5899" width="11.42578125" style="5"/>
    <col min="5900" max="5900" width="15.5703125" style="5" customWidth="1"/>
    <col min="5901" max="5901" width="11.42578125" style="5"/>
    <col min="5902" max="5902" width="13.85546875" style="5" bestFit="1" customWidth="1"/>
    <col min="5903" max="6144" width="11.42578125" style="5"/>
    <col min="6145" max="6145" width="12.85546875" style="5" customWidth="1"/>
    <col min="6146" max="6146" width="18.28515625" style="5" customWidth="1"/>
    <col min="6147" max="6147" width="13.7109375" style="5" customWidth="1"/>
    <col min="6148" max="6148" width="16.42578125" style="5" customWidth="1"/>
    <col min="6149" max="6149" width="20.7109375" style="5" customWidth="1"/>
    <col min="6150" max="6150" width="23.85546875" style="5" customWidth="1"/>
    <col min="6151" max="6151" width="18.85546875" style="5" customWidth="1"/>
    <col min="6152" max="6152" width="8.28515625" style="5" customWidth="1"/>
    <col min="6153" max="6153" width="14.5703125" style="5" bestFit="1" customWidth="1"/>
    <col min="6154" max="6154" width="14.140625" style="5" bestFit="1" customWidth="1"/>
    <col min="6155" max="6155" width="11.42578125" style="5"/>
    <col min="6156" max="6156" width="15.5703125" style="5" customWidth="1"/>
    <col min="6157" max="6157" width="11.42578125" style="5"/>
    <col min="6158" max="6158" width="13.85546875" style="5" bestFit="1" customWidth="1"/>
    <col min="6159" max="6400" width="11.42578125" style="5"/>
    <col min="6401" max="6401" width="12.85546875" style="5" customWidth="1"/>
    <col min="6402" max="6402" width="18.28515625" style="5" customWidth="1"/>
    <col min="6403" max="6403" width="13.7109375" style="5" customWidth="1"/>
    <col min="6404" max="6404" width="16.42578125" style="5" customWidth="1"/>
    <col min="6405" max="6405" width="20.7109375" style="5" customWidth="1"/>
    <col min="6406" max="6406" width="23.85546875" style="5" customWidth="1"/>
    <col min="6407" max="6407" width="18.85546875" style="5" customWidth="1"/>
    <col min="6408" max="6408" width="8.28515625" style="5" customWidth="1"/>
    <col min="6409" max="6409" width="14.5703125" style="5" bestFit="1" customWidth="1"/>
    <col min="6410" max="6410" width="14.140625" style="5" bestFit="1" customWidth="1"/>
    <col min="6411" max="6411" width="11.42578125" style="5"/>
    <col min="6412" max="6412" width="15.5703125" style="5" customWidth="1"/>
    <col min="6413" max="6413" width="11.42578125" style="5"/>
    <col min="6414" max="6414" width="13.85546875" style="5" bestFit="1" customWidth="1"/>
    <col min="6415" max="6656" width="11.42578125" style="5"/>
    <col min="6657" max="6657" width="12.85546875" style="5" customWidth="1"/>
    <col min="6658" max="6658" width="18.28515625" style="5" customWidth="1"/>
    <col min="6659" max="6659" width="13.7109375" style="5" customWidth="1"/>
    <col min="6660" max="6660" width="16.42578125" style="5" customWidth="1"/>
    <col min="6661" max="6661" width="20.7109375" style="5" customWidth="1"/>
    <col min="6662" max="6662" width="23.85546875" style="5" customWidth="1"/>
    <col min="6663" max="6663" width="18.85546875" style="5" customWidth="1"/>
    <col min="6664" max="6664" width="8.28515625" style="5" customWidth="1"/>
    <col min="6665" max="6665" width="14.5703125" style="5" bestFit="1" customWidth="1"/>
    <col min="6666" max="6666" width="14.140625" style="5" bestFit="1" customWidth="1"/>
    <col min="6667" max="6667" width="11.42578125" style="5"/>
    <col min="6668" max="6668" width="15.5703125" style="5" customWidth="1"/>
    <col min="6669" max="6669" width="11.42578125" style="5"/>
    <col min="6670" max="6670" width="13.85546875" style="5" bestFit="1" customWidth="1"/>
    <col min="6671" max="6912" width="11.42578125" style="5"/>
    <col min="6913" max="6913" width="12.85546875" style="5" customWidth="1"/>
    <col min="6914" max="6914" width="18.28515625" style="5" customWidth="1"/>
    <col min="6915" max="6915" width="13.7109375" style="5" customWidth="1"/>
    <col min="6916" max="6916" width="16.42578125" style="5" customWidth="1"/>
    <col min="6917" max="6917" width="20.7109375" style="5" customWidth="1"/>
    <col min="6918" max="6918" width="23.85546875" style="5" customWidth="1"/>
    <col min="6919" max="6919" width="18.85546875" style="5" customWidth="1"/>
    <col min="6920" max="6920" width="8.28515625" style="5" customWidth="1"/>
    <col min="6921" max="6921" width="14.5703125" style="5" bestFit="1" customWidth="1"/>
    <col min="6922" max="6922" width="14.140625" style="5" bestFit="1" customWidth="1"/>
    <col min="6923" max="6923" width="11.42578125" style="5"/>
    <col min="6924" max="6924" width="15.5703125" style="5" customWidth="1"/>
    <col min="6925" max="6925" width="11.42578125" style="5"/>
    <col min="6926" max="6926" width="13.85546875" style="5" bestFit="1" customWidth="1"/>
    <col min="6927" max="7168" width="11.42578125" style="5"/>
    <col min="7169" max="7169" width="12.85546875" style="5" customWidth="1"/>
    <col min="7170" max="7170" width="18.28515625" style="5" customWidth="1"/>
    <col min="7171" max="7171" width="13.7109375" style="5" customWidth="1"/>
    <col min="7172" max="7172" width="16.42578125" style="5" customWidth="1"/>
    <col min="7173" max="7173" width="20.7109375" style="5" customWidth="1"/>
    <col min="7174" max="7174" width="23.85546875" style="5" customWidth="1"/>
    <col min="7175" max="7175" width="18.85546875" style="5" customWidth="1"/>
    <col min="7176" max="7176" width="8.28515625" style="5" customWidth="1"/>
    <col min="7177" max="7177" width="14.5703125" style="5" bestFit="1" customWidth="1"/>
    <col min="7178" max="7178" width="14.140625" style="5" bestFit="1" customWidth="1"/>
    <col min="7179" max="7179" width="11.42578125" style="5"/>
    <col min="7180" max="7180" width="15.5703125" style="5" customWidth="1"/>
    <col min="7181" max="7181" width="11.42578125" style="5"/>
    <col min="7182" max="7182" width="13.85546875" style="5" bestFit="1" customWidth="1"/>
    <col min="7183" max="7424" width="11.42578125" style="5"/>
    <col min="7425" max="7425" width="12.85546875" style="5" customWidth="1"/>
    <col min="7426" max="7426" width="18.28515625" style="5" customWidth="1"/>
    <col min="7427" max="7427" width="13.7109375" style="5" customWidth="1"/>
    <col min="7428" max="7428" width="16.42578125" style="5" customWidth="1"/>
    <col min="7429" max="7429" width="20.7109375" style="5" customWidth="1"/>
    <col min="7430" max="7430" width="23.85546875" style="5" customWidth="1"/>
    <col min="7431" max="7431" width="18.85546875" style="5" customWidth="1"/>
    <col min="7432" max="7432" width="8.28515625" style="5" customWidth="1"/>
    <col min="7433" max="7433" width="14.5703125" style="5" bestFit="1" customWidth="1"/>
    <col min="7434" max="7434" width="14.140625" style="5" bestFit="1" customWidth="1"/>
    <col min="7435" max="7435" width="11.42578125" style="5"/>
    <col min="7436" max="7436" width="15.5703125" style="5" customWidth="1"/>
    <col min="7437" max="7437" width="11.42578125" style="5"/>
    <col min="7438" max="7438" width="13.85546875" style="5" bestFit="1" customWidth="1"/>
    <col min="7439" max="7680" width="11.42578125" style="5"/>
    <col min="7681" max="7681" width="12.85546875" style="5" customWidth="1"/>
    <col min="7682" max="7682" width="18.28515625" style="5" customWidth="1"/>
    <col min="7683" max="7683" width="13.7109375" style="5" customWidth="1"/>
    <col min="7684" max="7684" width="16.42578125" style="5" customWidth="1"/>
    <col min="7685" max="7685" width="20.7109375" style="5" customWidth="1"/>
    <col min="7686" max="7686" width="23.85546875" style="5" customWidth="1"/>
    <col min="7687" max="7687" width="18.85546875" style="5" customWidth="1"/>
    <col min="7688" max="7688" width="8.28515625" style="5" customWidth="1"/>
    <col min="7689" max="7689" width="14.5703125" style="5" bestFit="1" customWidth="1"/>
    <col min="7690" max="7690" width="14.140625" style="5" bestFit="1" customWidth="1"/>
    <col min="7691" max="7691" width="11.42578125" style="5"/>
    <col min="7692" max="7692" width="15.5703125" style="5" customWidth="1"/>
    <col min="7693" max="7693" width="11.42578125" style="5"/>
    <col min="7694" max="7694" width="13.85546875" style="5" bestFit="1" customWidth="1"/>
    <col min="7695" max="7936" width="11.42578125" style="5"/>
    <col min="7937" max="7937" width="12.85546875" style="5" customWidth="1"/>
    <col min="7938" max="7938" width="18.28515625" style="5" customWidth="1"/>
    <col min="7939" max="7939" width="13.7109375" style="5" customWidth="1"/>
    <col min="7940" max="7940" width="16.42578125" style="5" customWidth="1"/>
    <col min="7941" max="7941" width="20.7109375" style="5" customWidth="1"/>
    <col min="7942" max="7942" width="23.85546875" style="5" customWidth="1"/>
    <col min="7943" max="7943" width="18.85546875" style="5" customWidth="1"/>
    <col min="7944" max="7944" width="8.28515625" style="5" customWidth="1"/>
    <col min="7945" max="7945" width="14.5703125" style="5" bestFit="1" customWidth="1"/>
    <col min="7946" max="7946" width="14.140625" style="5" bestFit="1" customWidth="1"/>
    <col min="7947" max="7947" width="11.42578125" style="5"/>
    <col min="7948" max="7948" width="15.5703125" style="5" customWidth="1"/>
    <col min="7949" max="7949" width="11.42578125" style="5"/>
    <col min="7950" max="7950" width="13.85546875" style="5" bestFit="1" customWidth="1"/>
    <col min="7951" max="8192" width="11.42578125" style="5"/>
    <col min="8193" max="8193" width="12.85546875" style="5" customWidth="1"/>
    <col min="8194" max="8194" width="18.28515625" style="5" customWidth="1"/>
    <col min="8195" max="8195" width="13.7109375" style="5" customWidth="1"/>
    <col min="8196" max="8196" width="16.42578125" style="5" customWidth="1"/>
    <col min="8197" max="8197" width="20.7109375" style="5" customWidth="1"/>
    <col min="8198" max="8198" width="23.85546875" style="5" customWidth="1"/>
    <col min="8199" max="8199" width="18.85546875" style="5" customWidth="1"/>
    <col min="8200" max="8200" width="8.28515625" style="5" customWidth="1"/>
    <col min="8201" max="8201" width="14.5703125" style="5" bestFit="1" customWidth="1"/>
    <col min="8202" max="8202" width="14.140625" style="5" bestFit="1" customWidth="1"/>
    <col min="8203" max="8203" width="11.42578125" style="5"/>
    <col min="8204" max="8204" width="15.5703125" style="5" customWidth="1"/>
    <col min="8205" max="8205" width="11.42578125" style="5"/>
    <col min="8206" max="8206" width="13.85546875" style="5" bestFit="1" customWidth="1"/>
    <col min="8207" max="8448" width="11.42578125" style="5"/>
    <col min="8449" max="8449" width="12.85546875" style="5" customWidth="1"/>
    <col min="8450" max="8450" width="18.28515625" style="5" customWidth="1"/>
    <col min="8451" max="8451" width="13.7109375" style="5" customWidth="1"/>
    <col min="8452" max="8452" width="16.42578125" style="5" customWidth="1"/>
    <col min="8453" max="8453" width="20.7109375" style="5" customWidth="1"/>
    <col min="8454" max="8454" width="23.85546875" style="5" customWidth="1"/>
    <col min="8455" max="8455" width="18.85546875" style="5" customWidth="1"/>
    <col min="8456" max="8456" width="8.28515625" style="5" customWidth="1"/>
    <col min="8457" max="8457" width="14.5703125" style="5" bestFit="1" customWidth="1"/>
    <col min="8458" max="8458" width="14.140625" style="5" bestFit="1" customWidth="1"/>
    <col min="8459" max="8459" width="11.42578125" style="5"/>
    <col min="8460" max="8460" width="15.5703125" style="5" customWidth="1"/>
    <col min="8461" max="8461" width="11.42578125" style="5"/>
    <col min="8462" max="8462" width="13.85546875" style="5" bestFit="1" customWidth="1"/>
    <col min="8463" max="8704" width="11.42578125" style="5"/>
    <col min="8705" max="8705" width="12.85546875" style="5" customWidth="1"/>
    <col min="8706" max="8706" width="18.28515625" style="5" customWidth="1"/>
    <col min="8707" max="8707" width="13.7109375" style="5" customWidth="1"/>
    <col min="8708" max="8708" width="16.42578125" style="5" customWidth="1"/>
    <col min="8709" max="8709" width="20.7109375" style="5" customWidth="1"/>
    <col min="8710" max="8710" width="23.85546875" style="5" customWidth="1"/>
    <col min="8711" max="8711" width="18.85546875" style="5" customWidth="1"/>
    <col min="8712" max="8712" width="8.28515625" style="5" customWidth="1"/>
    <col min="8713" max="8713" width="14.5703125" style="5" bestFit="1" customWidth="1"/>
    <col min="8714" max="8714" width="14.140625" style="5" bestFit="1" customWidth="1"/>
    <col min="8715" max="8715" width="11.42578125" style="5"/>
    <col min="8716" max="8716" width="15.5703125" style="5" customWidth="1"/>
    <col min="8717" max="8717" width="11.42578125" style="5"/>
    <col min="8718" max="8718" width="13.85546875" style="5" bestFit="1" customWidth="1"/>
    <col min="8719" max="8960" width="11.42578125" style="5"/>
    <col min="8961" max="8961" width="12.85546875" style="5" customWidth="1"/>
    <col min="8962" max="8962" width="18.28515625" style="5" customWidth="1"/>
    <col min="8963" max="8963" width="13.7109375" style="5" customWidth="1"/>
    <col min="8964" max="8964" width="16.42578125" style="5" customWidth="1"/>
    <col min="8965" max="8965" width="20.7109375" style="5" customWidth="1"/>
    <col min="8966" max="8966" width="23.85546875" style="5" customWidth="1"/>
    <col min="8967" max="8967" width="18.85546875" style="5" customWidth="1"/>
    <col min="8968" max="8968" width="8.28515625" style="5" customWidth="1"/>
    <col min="8969" max="8969" width="14.5703125" style="5" bestFit="1" customWidth="1"/>
    <col min="8970" max="8970" width="14.140625" style="5" bestFit="1" customWidth="1"/>
    <col min="8971" max="8971" width="11.42578125" style="5"/>
    <col min="8972" max="8972" width="15.5703125" style="5" customWidth="1"/>
    <col min="8973" max="8973" width="11.42578125" style="5"/>
    <col min="8974" max="8974" width="13.85546875" style="5" bestFit="1" customWidth="1"/>
    <col min="8975" max="9216" width="11.42578125" style="5"/>
    <col min="9217" max="9217" width="12.85546875" style="5" customWidth="1"/>
    <col min="9218" max="9218" width="18.28515625" style="5" customWidth="1"/>
    <col min="9219" max="9219" width="13.7109375" style="5" customWidth="1"/>
    <col min="9220" max="9220" width="16.42578125" style="5" customWidth="1"/>
    <col min="9221" max="9221" width="20.7109375" style="5" customWidth="1"/>
    <col min="9222" max="9222" width="23.85546875" style="5" customWidth="1"/>
    <col min="9223" max="9223" width="18.85546875" style="5" customWidth="1"/>
    <col min="9224" max="9224" width="8.28515625" style="5" customWidth="1"/>
    <col min="9225" max="9225" width="14.5703125" style="5" bestFit="1" customWidth="1"/>
    <col min="9226" max="9226" width="14.140625" style="5" bestFit="1" customWidth="1"/>
    <col min="9227" max="9227" width="11.42578125" style="5"/>
    <col min="9228" max="9228" width="15.5703125" style="5" customWidth="1"/>
    <col min="9229" max="9229" width="11.42578125" style="5"/>
    <col min="9230" max="9230" width="13.85546875" style="5" bestFit="1" customWidth="1"/>
    <col min="9231" max="9472" width="11.42578125" style="5"/>
    <col min="9473" max="9473" width="12.85546875" style="5" customWidth="1"/>
    <col min="9474" max="9474" width="18.28515625" style="5" customWidth="1"/>
    <col min="9475" max="9475" width="13.7109375" style="5" customWidth="1"/>
    <col min="9476" max="9476" width="16.42578125" style="5" customWidth="1"/>
    <col min="9477" max="9477" width="20.7109375" style="5" customWidth="1"/>
    <col min="9478" max="9478" width="23.85546875" style="5" customWidth="1"/>
    <col min="9479" max="9479" width="18.85546875" style="5" customWidth="1"/>
    <col min="9480" max="9480" width="8.28515625" style="5" customWidth="1"/>
    <col min="9481" max="9481" width="14.5703125" style="5" bestFit="1" customWidth="1"/>
    <col min="9482" max="9482" width="14.140625" style="5" bestFit="1" customWidth="1"/>
    <col min="9483" max="9483" width="11.42578125" style="5"/>
    <col min="9484" max="9484" width="15.5703125" style="5" customWidth="1"/>
    <col min="9485" max="9485" width="11.42578125" style="5"/>
    <col min="9486" max="9486" width="13.85546875" style="5" bestFit="1" customWidth="1"/>
    <col min="9487" max="9728" width="11.42578125" style="5"/>
    <col min="9729" max="9729" width="12.85546875" style="5" customWidth="1"/>
    <col min="9730" max="9730" width="18.28515625" style="5" customWidth="1"/>
    <col min="9731" max="9731" width="13.7109375" style="5" customWidth="1"/>
    <col min="9732" max="9732" width="16.42578125" style="5" customWidth="1"/>
    <col min="9733" max="9733" width="20.7109375" style="5" customWidth="1"/>
    <col min="9734" max="9734" width="23.85546875" style="5" customWidth="1"/>
    <col min="9735" max="9735" width="18.85546875" style="5" customWidth="1"/>
    <col min="9736" max="9736" width="8.28515625" style="5" customWidth="1"/>
    <col min="9737" max="9737" width="14.5703125" style="5" bestFit="1" customWidth="1"/>
    <col min="9738" max="9738" width="14.140625" style="5" bestFit="1" customWidth="1"/>
    <col min="9739" max="9739" width="11.42578125" style="5"/>
    <col min="9740" max="9740" width="15.5703125" style="5" customWidth="1"/>
    <col min="9741" max="9741" width="11.42578125" style="5"/>
    <col min="9742" max="9742" width="13.85546875" style="5" bestFit="1" customWidth="1"/>
    <col min="9743" max="9984" width="11.42578125" style="5"/>
    <col min="9985" max="9985" width="12.85546875" style="5" customWidth="1"/>
    <col min="9986" max="9986" width="18.28515625" style="5" customWidth="1"/>
    <col min="9987" max="9987" width="13.7109375" style="5" customWidth="1"/>
    <col min="9988" max="9988" width="16.42578125" style="5" customWidth="1"/>
    <col min="9989" max="9989" width="20.7109375" style="5" customWidth="1"/>
    <col min="9990" max="9990" width="23.85546875" style="5" customWidth="1"/>
    <col min="9991" max="9991" width="18.85546875" style="5" customWidth="1"/>
    <col min="9992" max="9992" width="8.28515625" style="5" customWidth="1"/>
    <col min="9993" max="9993" width="14.5703125" style="5" bestFit="1" customWidth="1"/>
    <col min="9994" max="9994" width="14.140625" style="5" bestFit="1" customWidth="1"/>
    <col min="9995" max="9995" width="11.42578125" style="5"/>
    <col min="9996" max="9996" width="15.5703125" style="5" customWidth="1"/>
    <col min="9997" max="9997" width="11.42578125" style="5"/>
    <col min="9998" max="9998" width="13.85546875" style="5" bestFit="1" customWidth="1"/>
    <col min="9999" max="10240" width="11.42578125" style="5"/>
    <col min="10241" max="10241" width="12.85546875" style="5" customWidth="1"/>
    <col min="10242" max="10242" width="18.28515625" style="5" customWidth="1"/>
    <col min="10243" max="10243" width="13.7109375" style="5" customWidth="1"/>
    <col min="10244" max="10244" width="16.42578125" style="5" customWidth="1"/>
    <col min="10245" max="10245" width="20.7109375" style="5" customWidth="1"/>
    <col min="10246" max="10246" width="23.85546875" style="5" customWidth="1"/>
    <col min="10247" max="10247" width="18.85546875" style="5" customWidth="1"/>
    <col min="10248" max="10248" width="8.28515625" style="5" customWidth="1"/>
    <col min="10249" max="10249" width="14.5703125" style="5" bestFit="1" customWidth="1"/>
    <col min="10250" max="10250" width="14.140625" style="5" bestFit="1" customWidth="1"/>
    <col min="10251" max="10251" width="11.42578125" style="5"/>
    <col min="10252" max="10252" width="15.5703125" style="5" customWidth="1"/>
    <col min="10253" max="10253" width="11.42578125" style="5"/>
    <col min="10254" max="10254" width="13.85546875" style="5" bestFit="1" customWidth="1"/>
    <col min="10255" max="10496" width="11.42578125" style="5"/>
    <col min="10497" max="10497" width="12.85546875" style="5" customWidth="1"/>
    <col min="10498" max="10498" width="18.28515625" style="5" customWidth="1"/>
    <col min="10499" max="10499" width="13.7109375" style="5" customWidth="1"/>
    <col min="10500" max="10500" width="16.42578125" style="5" customWidth="1"/>
    <col min="10501" max="10501" width="20.7109375" style="5" customWidth="1"/>
    <col min="10502" max="10502" width="23.85546875" style="5" customWidth="1"/>
    <col min="10503" max="10503" width="18.85546875" style="5" customWidth="1"/>
    <col min="10504" max="10504" width="8.28515625" style="5" customWidth="1"/>
    <col min="10505" max="10505" width="14.5703125" style="5" bestFit="1" customWidth="1"/>
    <col min="10506" max="10506" width="14.140625" style="5" bestFit="1" customWidth="1"/>
    <col min="10507" max="10507" width="11.42578125" style="5"/>
    <col min="10508" max="10508" width="15.5703125" style="5" customWidth="1"/>
    <col min="10509" max="10509" width="11.42578125" style="5"/>
    <col min="10510" max="10510" width="13.85546875" style="5" bestFit="1" customWidth="1"/>
    <col min="10511" max="10752" width="11.42578125" style="5"/>
    <col min="10753" max="10753" width="12.85546875" style="5" customWidth="1"/>
    <col min="10754" max="10754" width="18.28515625" style="5" customWidth="1"/>
    <col min="10755" max="10755" width="13.7109375" style="5" customWidth="1"/>
    <col min="10756" max="10756" width="16.42578125" style="5" customWidth="1"/>
    <col min="10757" max="10757" width="20.7109375" style="5" customWidth="1"/>
    <col min="10758" max="10758" width="23.85546875" style="5" customWidth="1"/>
    <col min="10759" max="10759" width="18.85546875" style="5" customWidth="1"/>
    <col min="10760" max="10760" width="8.28515625" style="5" customWidth="1"/>
    <col min="10761" max="10761" width="14.5703125" style="5" bestFit="1" customWidth="1"/>
    <col min="10762" max="10762" width="14.140625" style="5" bestFit="1" customWidth="1"/>
    <col min="10763" max="10763" width="11.42578125" style="5"/>
    <col min="10764" max="10764" width="15.5703125" style="5" customWidth="1"/>
    <col min="10765" max="10765" width="11.42578125" style="5"/>
    <col min="10766" max="10766" width="13.85546875" style="5" bestFit="1" customWidth="1"/>
    <col min="10767" max="11008" width="11.42578125" style="5"/>
    <col min="11009" max="11009" width="12.85546875" style="5" customWidth="1"/>
    <col min="11010" max="11010" width="18.28515625" style="5" customWidth="1"/>
    <col min="11011" max="11011" width="13.7109375" style="5" customWidth="1"/>
    <col min="11012" max="11012" width="16.42578125" style="5" customWidth="1"/>
    <col min="11013" max="11013" width="20.7109375" style="5" customWidth="1"/>
    <col min="11014" max="11014" width="23.85546875" style="5" customWidth="1"/>
    <col min="11015" max="11015" width="18.85546875" style="5" customWidth="1"/>
    <col min="11016" max="11016" width="8.28515625" style="5" customWidth="1"/>
    <col min="11017" max="11017" width="14.5703125" style="5" bestFit="1" customWidth="1"/>
    <col min="11018" max="11018" width="14.140625" style="5" bestFit="1" customWidth="1"/>
    <col min="11019" max="11019" width="11.42578125" style="5"/>
    <col min="11020" max="11020" width="15.5703125" style="5" customWidth="1"/>
    <col min="11021" max="11021" width="11.42578125" style="5"/>
    <col min="11022" max="11022" width="13.85546875" style="5" bestFit="1" customWidth="1"/>
    <col min="11023" max="11264" width="11.42578125" style="5"/>
    <col min="11265" max="11265" width="12.85546875" style="5" customWidth="1"/>
    <col min="11266" max="11266" width="18.28515625" style="5" customWidth="1"/>
    <col min="11267" max="11267" width="13.7109375" style="5" customWidth="1"/>
    <col min="11268" max="11268" width="16.42578125" style="5" customWidth="1"/>
    <col min="11269" max="11269" width="20.7109375" style="5" customWidth="1"/>
    <col min="11270" max="11270" width="23.85546875" style="5" customWidth="1"/>
    <col min="11271" max="11271" width="18.85546875" style="5" customWidth="1"/>
    <col min="11272" max="11272" width="8.28515625" style="5" customWidth="1"/>
    <col min="11273" max="11273" width="14.5703125" style="5" bestFit="1" customWidth="1"/>
    <col min="11274" max="11274" width="14.140625" style="5" bestFit="1" customWidth="1"/>
    <col min="11275" max="11275" width="11.42578125" style="5"/>
    <col min="11276" max="11276" width="15.5703125" style="5" customWidth="1"/>
    <col min="11277" max="11277" width="11.42578125" style="5"/>
    <col min="11278" max="11278" width="13.85546875" style="5" bestFit="1" customWidth="1"/>
    <col min="11279" max="11520" width="11.42578125" style="5"/>
    <col min="11521" max="11521" width="12.85546875" style="5" customWidth="1"/>
    <col min="11522" max="11522" width="18.28515625" style="5" customWidth="1"/>
    <col min="11523" max="11523" width="13.7109375" style="5" customWidth="1"/>
    <col min="11524" max="11524" width="16.42578125" style="5" customWidth="1"/>
    <col min="11525" max="11525" width="20.7109375" style="5" customWidth="1"/>
    <col min="11526" max="11526" width="23.85546875" style="5" customWidth="1"/>
    <col min="11527" max="11527" width="18.85546875" style="5" customWidth="1"/>
    <col min="11528" max="11528" width="8.28515625" style="5" customWidth="1"/>
    <col min="11529" max="11529" width="14.5703125" style="5" bestFit="1" customWidth="1"/>
    <col min="11530" max="11530" width="14.140625" style="5" bestFit="1" customWidth="1"/>
    <col min="11531" max="11531" width="11.42578125" style="5"/>
    <col min="11532" max="11532" width="15.5703125" style="5" customWidth="1"/>
    <col min="11533" max="11533" width="11.42578125" style="5"/>
    <col min="11534" max="11534" width="13.85546875" style="5" bestFit="1" customWidth="1"/>
    <col min="11535" max="11776" width="11.42578125" style="5"/>
    <col min="11777" max="11777" width="12.85546875" style="5" customWidth="1"/>
    <col min="11778" max="11778" width="18.28515625" style="5" customWidth="1"/>
    <col min="11779" max="11779" width="13.7109375" style="5" customWidth="1"/>
    <col min="11780" max="11780" width="16.42578125" style="5" customWidth="1"/>
    <col min="11781" max="11781" width="20.7109375" style="5" customWidth="1"/>
    <col min="11782" max="11782" width="23.85546875" style="5" customWidth="1"/>
    <col min="11783" max="11783" width="18.85546875" style="5" customWidth="1"/>
    <col min="11784" max="11784" width="8.28515625" style="5" customWidth="1"/>
    <col min="11785" max="11785" width="14.5703125" style="5" bestFit="1" customWidth="1"/>
    <col min="11786" max="11786" width="14.140625" style="5" bestFit="1" customWidth="1"/>
    <col min="11787" max="11787" width="11.42578125" style="5"/>
    <col min="11788" max="11788" width="15.5703125" style="5" customWidth="1"/>
    <col min="11789" max="11789" width="11.42578125" style="5"/>
    <col min="11790" max="11790" width="13.85546875" style="5" bestFit="1" customWidth="1"/>
    <col min="11791" max="12032" width="11.42578125" style="5"/>
    <col min="12033" max="12033" width="12.85546875" style="5" customWidth="1"/>
    <col min="12034" max="12034" width="18.28515625" style="5" customWidth="1"/>
    <col min="12035" max="12035" width="13.7109375" style="5" customWidth="1"/>
    <col min="12036" max="12036" width="16.42578125" style="5" customWidth="1"/>
    <col min="12037" max="12037" width="20.7109375" style="5" customWidth="1"/>
    <col min="12038" max="12038" width="23.85546875" style="5" customWidth="1"/>
    <col min="12039" max="12039" width="18.85546875" style="5" customWidth="1"/>
    <col min="12040" max="12040" width="8.28515625" style="5" customWidth="1"/>
    <col min="12041" max="12041" width="14.5703125" style="5" bestFit="1" customWidth="1"/>
    <col min="12042" max="12042" width="14.140625" style="5" bestFit="1" customWidth="1"/>
    <col min="12043" max="12043" width="11.42578125" style="5"/>
    <col min="12044" max="12044" width="15.5703125" style="5" customWidth="1"/>
    <col min="12045" max="12045" width="11.42578125" style="5"/>
    <col min="12046" max="12046" width="13.85546875" style="5" bestFit="1" customWidth="1"/>
    <col min="12047" max="12288" width="11.42578125" style="5"/>
    <col min="12289" max="12289" width="12.85546875" style="5" customWidth="1"/>
    <col min="12290" max="12290" width="18.28515625" style="5" customWidth="1"/>
    <col min="12291" max="12291" width="13.7109375" style="5" customWidth="1"/>
    <col min="12292" max="12292" width="16.42578125" style="5" customWidth="1"/>
    <col min="12293" max="12293" width="20.7109375" style="5" customWidth="1"/>
    <col min="12294" max="12294" width="23.85546875" style="5" customWidth="1"/>
    <col min="12295" max="12295" width="18.85546875" style="5" customWidth="1"/>
    <col min="12296" max="12296" width="8.28515625" style="5" customWidth="1"/>
    <col min="12297" max="12297" width="14.5703125" style="5" bestFit="1" customWidth="1"/>
    <col min="12298" max="12298" width="14.140625" style="5" bestFit="1" customWidth="1"/>
    <col min="12299" max="12299" width="11.42578125" style="5"/>
    <col min="12300" max="12300" width="15.5703125" style="5" customWidth="1"/>
    <col min="12301" max="12301" width="11.42578125" style="5"/>
    <col min="12302" max="12302" width="13.85546875" style="5" bestFit="1" customWidth="1"/>
    <col min="12303" max="12544" width="11.42578125" style="5"/>
    <col min="12545" max="12545" width="12.85546875" style="5" customWidth="1"/>
    <col min="12546" max="12546" width="18.28515625" style="5" customWidth="1"/>
    <col min="12547" max="12547" width="13.7109375" style="5" customWidth="1"/>
    <col min="12548" max="12548" width="16.42578125" style="5" customWidth="1"/>
    <col min="12549" max="12549" width="20.7109375" style="5" customWidth="1"/>
    <col min="12550" max="12550" width="23.85546875" style="5" customWidth="1"/>
    <col min="12551" max="12551" width="18.85546875" style="5" customWidth="1"/>
    <col min="12552" max="12552" width="8.28515625" style="5" customWidth="1"/>
    <col min="12553" max="12553" width="14.5703125" style="5" bestFit="1" customWidth="1"/>
    <col min="12554" max="12554" width="14.140625" style="5" bestFit="1" customWidth="1"/>
    <col min="12555" max="12555" width="11.42578125" style="5"/>
    <col min="12556" max="12556" width="15.5703125" style="5" customWidth="1"/>
    <col min="12557" max="12557" width="11.42578125" style="5"/>
    <col min="12558" max="12558" width="13.85546875" style="5" bestFit="1" customWidth="1"/>
    <col min="12559" max="12800" width="11.42578125" style="5"/>
    <col min="12801" max="12801" width="12.85546875" style="5" customWidth="1"/>
    <col min="12802" max="12802" width="18.28515625" style="5" customWidth="1"/>
    <col min="12803" max="12803" width="13.7109375" style="5" customWidth="1"/>
    <col min="12804" max="12804" width="16.42578125" style="5" customWidth="1"/>
    <col min="12805" max="12805" width="20.7109375" style="5" customWidth="1"/>
    <col min="12806" max="12806" width="23.85546875" style="5" customWidth="1"/>
    <col min="12807" max="12807" width="18.85546875" style="5" customWidth="1"/>
    <col min="12808" max="12808" width="8.28515625" style="5" customWidth="1"/>
    <col min="12809" max="12809" width="14.5703125" style="5" bestFit="1" customWidth="1"/>
    <col min="12810" max="12810" width="14.140625" style="5" bestFit="1" customWidth="1"/>
    <col min="12811" max="12811" width="11.42578125" style="5"/>
    <col min="12812" max="12812" width="15.5703125" style="5" customWidth="1"/>
    <col min="12813" max="12813" width="11.42578125" style="5"/>
    <col min="12814" max="12814" width="13.85546875" style="5" bestFit="1" customWidth="1"/>
    <col min="12815" max="13056" width="11.42578125" style="5"/>
    <col min="13057" max="13057" width="12.85546875" style="5" customWidth="1"/>
    <col min="13058" max="13058" width="18.28515625" style="5" customWidth="1"/>
    <col min="13059" max="13059" width="13.7109375" style="5" customWidth="1"/>
    <col min="13060" max="13060" width="16.42578125" style="5" customWidth="1"/>
    <col min="13061" max="13061" width="20.7109375" style="5" customWidth="1"/>
    <col min="13062" max="13062" width="23.85546875" style="5" customWidth="1"/>
    <col min="13063" max="13063" width="18.85546875" style="5" customWidth="1"/>
    <col min="13064" max="13064" width="8.28515625" style="5" customWidth="1"/>
    <col min="13065" max="13065" width="14.5703125" style="5" bestFit="1" customWidth="1"/>
    <col min="13066" max="13066" width="14.140625" style="5" bestFit="1" customWidth="1"/>
    <col min="13067" max="13067" width="11.42578125" style="5"/>
    <col min="13068" max="13068" width="15.5703125" style="5" customWidth="1"/>
    <col min="13069" max="13069" width="11.42578125" style="5"/>
    <col min="13070" max="13070" width="13.85546875" style="5" bestFit="1" customWidth="1"/>
    <col min="13071" max="13312" width="11.42578125" style="5"/>
    <col min="13313" max="13313" width="12.85546875" style="5" customWidth="1"/>
    <col min="13314" max="13314" width="18.28515625" style="5" customWidth="1"/>
    <col min="13315" max="13315" width="13.7109375" style="5" customWidth="1"/>
    <col min="13316" max="13316" width="16.42578125" style="5" customWidth="1"/>
    <col min="13317" max="13317" width="20.7109375" style="5" customWidth="1"/>
    <col min="13318" max="13318" width="23.85546875" style="5" customWidth="1"/>
    <col min="13319" max="13319" width="18.85546875" style="5" customWidth="1"/>
    <col min="13320" max="13320" width="8.28515625" style="5" customWidth="1"/>
    <col min="13321" max="13321" width="14.5703125" style="5" bestFit="1" customWidth="1"/>
    <col min="13322" max="13322" width="14.140625" style="5" bestFit="1" customWidth="1"/>
    <col min="13323" max="13323" width="11.42578125" style="5"/>
    <col min="13324" max="13324" width="15.5703125" style="5" customWidth="1"/>
    <col min="13325" max="13325" width="11.42578125" style="5"/>
    <col min="13326" max="13326" width="13.85546875" style="5" bestFit="1" customWidth="1"/>
    <col min="13327" max="13568" width="11.42578125" style="5"/>
    <col min="13569" max="13569" width="12.85546875" style="5" customWidth="1"/>
    <col min="13570" max="13570" width="18.28515625" style="5" customWidth="1"/>
    <col min="13571" max="13571" width="13.7109375" style="5" customWidth="1"/>
    <col min="13572" max="13572" width="16.42578125" style="5" customWidth="1"/>
    <col min="13573" max="13573" width="20.7109375" style="5" customWidth="1"/>
    <col min="13574" max="13574" width="23.85546875" style="5" customWidth="1"/>
    <col min="13575" max="13575" width="18.85546875" style="5" customWidth="1"/>
    <col min="13576" max="13576" width="8.28515625" style="5" customWidth="1"/>
    <col min="13577" max="13577" width="14.5703125" style="5" bestFit="1" customWidth="1"/>
    <col min="13578" max="13578" width="14.140625" style="5" bestFit="1" customWidth="1"/>
    <col min="13579" max="13579" width="11.42578125" style="5"/>
    <col min="13580" max="13580" width="15.5703125" style="5" customWidth="1"/>
    <col min="13581" max="13581" width="11.42578125" style="5"/>
    <col min="13582" max="13582" width="13.85546875" style="5" bestFit="1" customWidth="1"/>
    <col min="13583" max="13824" width="11.42578125" style="5"/>
    <col min="13825" max="13825" width="12.85546875" style="5" customWidth="1"/>
    <col min="13826" max="13826" width="18.28515625" style="5" customWidth="1"/>
    <col min="13827" max="13827" width="13.7109375" style="5" customWidth="1"/>
    <col min="13828" max="13828" width="16.42578125" style="5" customWidth="1"/>
    <col min="13829" max="13829" width="20.7109375" style="5" customWidth="1"/>
    <col min="13830" max="13830" width="23.85546875" style="5" customWidth="1"/>
    <col min="13831" max="13831" width="18.85546875" style="5" customWidth="1"/>
    <col min="13832" max="13832" width="8.28515625" style="5" customWidth="1"/>
    <col min="13833" max="13833" width="14.5703125" style="5" bestFit="1" customWidth="1"/>
    <col min="13834" max="13834" width="14.140625" style="5" bestFit="1" customWidth="1"/>
    <col min="13835" max="13835" width="11.42578125" style="5"/>
    <col min="13836" max="13836" width="15.5703125" style="5" customWidth="1"/>
    <col min="13837" max="13837" width="11.42578125" style="5"/>
    <col min="13838" max="13838" width="13.85546875" style="5" bestFit="1" customWidth="1"/>
    <col min="13839" max="14080" width="11.42578125" style="5"/>
    <col min="14081" max="14081" width="12.85546875" style="5" customWidth="1"/>
    <col min="14082" max="14082" width="18.28515625" style="5" customWidth="1"/>
    <col min="14083" max="14083" width="13.7109375" style="5" customWidth="1"/>
    <col min="14084" max="14084" width="16.42578125" style="5" customWidth="1"/>
    <col min="14085" max="14085" width="20.7109375" style="5" customWidth="1"/>
    <col min="14086" max="14086" width="23.85546875" style="5" customWidth="1"/>
    <col min="14087" max="14087" width="18.85546875" style="5" customWidth="1"/>
    <col min="14088" max="14088" width="8.28515625" style="5" customWidth="1"/>
    <col min="14089" max="14089" width="14.5703125" style="5" bestFit="1" customWidth="1"/>
    <col min="14090" max="14090" width="14.140625" style="5" bestFit="1" customWidth="1"/>
    <col min="14091" max="14091" width="11.42578125" style="5"/>
    <col min="14092" max="14092" width="15.5703125" style="5" customWidth="1"/>
    <col min="14093" max="14093" width="11.42578125" style="5"/>
    <col min="14094" max="14094" width="13.85546875" style="5" bestFit="1" customWidth="1"/>
    <col min="14095" max="14336" width="11.42578125" style="5"/>
    <col min="14337" max="14337" width="12.85546875" style="5" customWidth="1"/>
    <col min="14338" max="14338" width="18.28515625" style="5" customWidth="1"/>
    <col min="14339" max="14339" width="13.7109375" style="5" customWidth="1"/>
    <col min="14340" max="14340" width="16.42578125" style="5" customWidth="1"/>
    <col min="14341" max="14341" width="20.7109375" style="5" customWidth="1"/>
    <col min="14342" max="14342" width="23.85546875" style="5" customWidth="1"/>
    <col min="14343" max="14343" width="18.85546875" style="5" customWidth="1"/>
    <col min="14344" max="14344" width="8.28515625" style="5" customWidth="1"/>
    <col min="14345" max="14345" width="14.5703125" style="5" bestFit="1" customWidth="1"/>
    <col min="14346" max="14346" width="14.140625" style="5" bestFit="1" customWidth="1"/>
    <col min="14347" max="14347" width="11.42578125" style="5"/>
    <col min="14348" max="14348" width="15.5703125" style="5" customWidth="1"/>
    <col min="14349" max="14349" width="11.42578125" style="5"/>
    <col min="14350" max="14350" width="13.85546875" style="5" bestFit="1" customWidth="1"/>
    <col min="14351" max="14592" width="11.42578125" style="5"/>
    <col min="14593" max="14593" width="12.85546875" style="5" customWidth="1"/>
    <col min="14594" max="14594" width="18.28515625" style="5" customWidth="1"/>
    <col min="14595" max="14595" width="13.7109375" style="5" customWidth="1"/>
    <col min="14596" max="14596" width="16.42578125" style="5" customWidth="1"/>
    <col min="14597" max="14597" width="20.7109375" style="5" customWidth="1"/>
    <col min="14598" max="14598" width="23.85546875" style="5" customWidth="1"/>
    <col min="14599" max="14599" width="18.85546875" style="5" customWidth="1"/>
    <col min="14600" max="14600" width="8.28515625" style="5" customWidth="1"/>
    <col min="14601" max="14601" width="14.5703125" style="5" bestFit="1" customWidth="1"/>
    <col min="14602" max="14602" width="14.140625" style="5" bestFit="1" customWidth="1"/>
    <col min="14603" max="14603" width="11.42578125" style="5"/>
    <col min="14604" max="14604" width="15.5703125" style="5" customWidth="1"/>
    <col min="14605" max="14605" width="11.42578125" style="5"/>
    <col min="14606" max="14606" width="13.85546875" style="5" bestFit="1" customWidth="1"/>
    <col min="14607" max="14848" width="11.42578125" style="5"/>
    <col min="14849" max="14849" width="12.85546875" style="5" customWidth="1"/>
    <col min="14850" max="14850" width="18.28515625" style="5" customWidth="1"/>
    <col min="14851" max="14851" width="13.7109375" style="5" customWidth="1"/>
    <col min="14852" max="14852" width="16.42578125" style="5" customWidth="1"/>
    <col min="14853" max="14853" width="20.7109375" style="5" customWidth="1"/>
    <col min="14854" max="14854" width="23.85546875" style="5" customWidth="1"/>
    <col min="14855" max="14855" width="18.85546875" style="5" customWidth="1"/>
    <col min="14856" max="14856" width="8.28515625" style="5" customWidth="1"/>
    <col min="14857" max="14857" width="14.5703125" style="5" bestFit="1" customWidth="1"/>
    <col min="14858" max="14858" width="14.140625" style="5" bestFit="1" customWidth="1"/>
    <col min="14859" max="14859" width="11.42578125" style="5"/>
    <col min="14860" max="14860" width="15.5703125" style="5" customWidth="1"/>
    <col min="14861" max="14861" width="11.42578125" style="5"/>
    <col min="14862" max="14862" width="13.85546875" style="5" bestFit="1" customWidth="1"/>
    <col min="14863" max="15104" width="11.42578125" style="5"/>
    <col min="15105" max="15105" width="12.85546875" style="5" customWidth="1"/>
    <col min="15106" max="15106" width="18.28515625" style="5" customWidth="1"/>
    <col min="15107" max="15107" width="13.7109375" style="5" customWidth="1"/>
    <col min="15108" max="15108" width="16.42578125" style="5" customWidth="1"/>
    <col min="15109" max="15109" width="20.7109375" style="5" customWidth="1"/>
    <col min="15110" max="15110" width="23.85546875" style="5" customWidth="1"/>
    <col min="15111" max="15111" width="18.85546875" style="5" customWidth="1"/>
    <col min="15112" max="15112" width="8.28515625" style="5" customWidth="1"/>
    <col min="15113" max="15113" width="14.5703125" style="5" bestFit="1" customWidth="1"/>
    <col min="15114" max="15114" width="14.140625" style="5" bestFit="1" customWidth="1"/>
    <col min="15115" max="15115" width="11.42578125" style="5"/>
    <col min="15116" max="15116" width="15.5703125" style="5" customWidth="1"/>
    <col min="15117" max="15117" width="11.42578125" style="5"/>
    <col min="15118" max="15118" width="13.85546875" style="5" bestFit="1" customWidth="1"/>
    <col min="15119" max="15360" width="11.42578125" style="5"/>
    <col min="15361" max="15361" width="12.85546875" style="5" customWidth="1"/>
    <col min="15362" max="15362" width="18.28515625" style="5" customWidth="1"/>
    <col min="15363" max="15363" width="13.7109375" style="5" customWidth="1"/>
    <col min="15364" max="15364" width="16.42578125" style="5" customWidth="1"/>
    <col min="15365" max="15365" width="20.7109375" style="5" customWidth="1"/>
    <col min="15366" max="15366" width="23.85546875" style="5" customWidth="1"/>
    <col min="15367" max="15367" width="18.85546875" style="5" customWidth="1"/>
    <col min="15368" max="15368" width="8.28515625" style="5" customWidth="1"/>
    <col min="15369" max="15369" width="14.5703125" style="5" bestFit="1" customWidth="1"/>
    <col min="15370" max="15370" width="14.140625" style="5" bestFit="1" customWidth="1"/>
    <col min="15371" max="15371" width="11.42578125" style="5"/>
    <col min="15372" max="15372" width="15.5703125" style="5" customWidth="1"/>
    <col min="15373" max="15373" width="11.42578125" style="5"/>
    <col min="15374" max="15374" width="13.85546875" style="5" bestFit="1" customWidth="1"/>
    <col min="15375" max="15616" width="11.42578125" style="5"/>
    <col min="15617" max="15617" width="12.85546875" style="5" customWidth="1"/>
    <col min="15618" max="15618" width="18.28515625" style="5" customWidth="1"/>
    <col min="15619" max="15619" width="13.7109375" style="5" customWidth="1"/>
    <col min="15620" max="15620" width="16.42578125" style="5" customWidth="1"/>
    <col min="15621" max="15621" width="20.7109375" style="5" customWidth="1"/>
    <col min="15622" max="15622" width="23.85546875" style="5" customWidth="1"/>
    <col min="15623" max="15623" width="18.85546875" style="5" customWidth="1"/>
    <col min="15624" max="15624" width="8.28515625" style="5" customWidth="1"/>
    <col min="15625" max="15625" width="14.5703125" style="5" bestFit="1" customWidth="1"/>
    <col min="15626" max="15626" width="14.140625" style="5" bestFit="1" customWidth="1"/>
    <col min="15627" max="15627" width="11.42578125" style="5"/>
    <col min="15628" max="15628" width="15.5703125" style="5" customWidth="1"/>
    <col min="15629" max="15629" width="11.42578125" style="5"/>
    <col min="15630" max="15630" width="13.85546875" style="5" bestFit="1" customWidth="1"/>
    <col min="15631" max="15872" width="11.42578125" style="5"/>
    <col min="15873" max="15873" width="12.85546875" style="5" customWidth="1"/>
    <col min="15874" max="15874" width="18.28515625" style="5" customWidth="1"/>
    <col min="15875" max="15875" width="13.7109375" style="5" customWidth="1"/>
    <col min="15876" max="15876" width="16.42578125" style="5" customWidth="1"/>
    <col min="15877" max="15877" width="20.7109375" style="5" customWidth="1"/>
    <col min="15878" max="15878" width="23.85546875" style="5" customWidth="1"/>
    <col min="15879" max="15879" width="18.85546875" style="5" customWidth="1"/>
    <col min="15880" max="15880" width="8.28515625" style="5" customWidth="1"/>
    <col min="15881" max="15881" width="14.5703125" style="5" bestFit="1" customWidth="1"/>
    <col min="15882" max="15882" width="14.140625" style="5" bestFit="1" customWidth="1"/>
    <col min="15883" max="15883" width="11.42578125" style="5"/>
    <col min="15884" max="15884" width="15.5703125" style="5" customWidth="1"/>
    <col min="15885" max="15885" width="11.42578125" style="5"/>
    <col min="15886" max="15886" width="13.85546875" style="5" bestFit="1" customWidth="1"/>
    <col min="15887" max="16128" width="11.42578125" style="5"/>
    <col min="16129" max="16129" width="12.85546875" style="5" customWidth="1"/>
    <col min="16130" max="16130" width="18.28515625" style="5" customWidth="1"/>
    <col min="16131" max="16131" width="13.7109375" style="5" customWidth="1"/>
    <col min="16132" max="16132" width="16.42578125" style="5" customWidth="1"/>
    <col min="16133" max="16133" width="20.7109375" style="5" customWidth="1"/>
    <col min="16134" max="16134" width="23.85546875" style="5" customWidth="1"/>
    <col min="16135" max="16135" width="18.85546875" style="5" customWidth="1"/>
    <col min="16136" max="16136" width="8.28515625" style="5" customWidth="1"/>
    <col min="16137" max="16137" width="14.5703125" style="5" bestFit="1" customWidth="1"/>
    <col min="16138" max="16138" width="14.140625" style="5" bestFit="1" customWidth="1"/>
    <col min="16139" max="16139" width="11.42578125" style="5"/>
    <col min="16140" max="16140" width="15.5703125" style="5" customWidth="1"/>
    <col min="16141" max="16141" width="11.42578125" style="5"/>
    <col min="16142" max="16142" width="13.85546875" style="5" bestFit="1" customWidth="1"/>
    <col min="16143" max="16384" width="11.42578125" style="5"/>
  </cols>
  <sheetData>
    <row r="1" spans="1:34" ht="13.5" thickBot="1" x14ac:dyDescent="0.25"/>
    <row r="2" spans="1:34" s="4" customFormat="1" ht="18" thickBot="1" x14ac:dyDescent="0.25">
      <c r="A2" s="876" t="s">
        <v>239</v>
      </c>
      <c r="B2" s="877"/>
      <c r="C2" s="877"/>
      <c r="D2" s="877"/>
      <c r="E2" s="877"/>
      <c r="F2" s="877"/>
      <c r="G2" s="878"/>
      <c r="H2" s="33"/>
      <c r="K2" s="2"/>
      <c r="L2" s="2"/>
      <c r="M2" s="2"/>
      <c r="N2" s="2"/>
      <c r="O2" s="2"/>
      <c r="P2" s="2"/>
      <c r="Q2" s="2"/>
      <c r="R2" s="2"/>
    </row>
    <row r="3" spans="1:34" s="12" customFormat="1" ht="28.5" customHeight="1" x14ac:dyDescent="0.2">
      <c r="A3" s="879" t="s">
        <v>286</v>
      </c>
      <c r="B3" s="879"/>
      <c r="C3" s="879"/>
      <c r="D3" s="879"/>
      <c r="E3" s="879"/>
      <c r="F3" s="879"/>
      <c r="G3" s="879"/>
      <c r="H3" s="50"/>
      <c r="I3" s="50"/>
      <c r="J3" s="410" t="s">
        <v>287</v>
      </c>
      <c r="L3" s="226"/>
    </row>
    <row r="4" spans="1:34" s="12" customFormat="1" ht="30.75" thickBot="1" x14ac:dyDescent="0.5">
      <c r="A4" s="411"/>
      <c r="B4" s="5"/>
      <c r="C4" s="5"/>
      <c r="D4" s="5"/>
      <c r="E4" s="5"/>
      <c r="F4" s="5"/>
      <c r="G4" s="5"/>
      <c r="H4" s="50"/>
      <c r="I4" s="672"/>
      <c r="J4" s="410" t="s">
        <v>288</v>
      </c>
      <c r="L4" s="226"/>
    </row>
    <row r="5" spans="1:34" ht="15.75" thickBot="1" x14ac:dyDescent="0.25">
      <c r="B5" s="412" t="s">
        <v>240</v>
      </c>
      <c r="C5" s="413">
        <v>2.29E-2</v>
      </c>
      <c r="D5" s="414" t="s">
        <v>221</v>
      </c>
      <c r="E5" s="415" t="s">
        <v>241</v>
      </c>
      <c r="F5" s="416">
        <f>1-C5</f>
        <v>0.97709999999999997</v>
      </c>
      <c r="H5" s="50"/>
      <c r="I5" s="672"/>
      <c r="J5" s="410" t="s">
        <v>289</v>
      </c>
      <c r="K5" s="2"/>
      <c r="L5" s="226"/>
      <c r="M5" s="12"/>
      <c r="N5" s="12"/>
      <c r="O5" s="59"/>
      <c r="P5" s="59"/>
      <c r="Q5" s="59"/>
      <c r="R5" s="12"/>
      <c r="S5" s="12"/>
      <c r="T5" s="12"/>
      <c r="U5" s="12"/>
      <c r="V5" s="12"/>
      <c r="W5" s="12"/>
      <c r="X5" s="12"/>
    </row>
    <row r="6" spans="1:34" ht="15.75" thickBot="1" x14ac:dyDescent="0.25">
      <c r="H6" s="65"/>
      <c r="I6" s="57"/>
      <c r="J6" s="410" t="s">
        <v>290</v>
      </c>
      <c r="L6" s="29"/>
      <c r="M6" s="12"/>
      <c r="N6" s="12"/>
      <c r="U6" s="71"/>
      <c r="V6" s="71"/>
      <c r="W6" s="71"/>
      <c r="X6" s="71"/>
      <c r="Y6" s="71"/>
      <c r="Z6" s="71"/>
    </row>
    <row r="7" spans="1:34" ht="16.5" thickBot="1" x14ac:dyDescent="0.25">
      <c r="B7" s="417"/>
      <c r="D7" s="862" t="s">
        <v>79</v>
      </c>
      <c r="E7" s="863"/>
      <c r="F7" s="864"/>
      <c r="H7" s="74"/>
      <c r="I7" s="57"/>
      <c r="J7" s="418" t="s">
        <v>291</v>
      </c>
      <c r="K7" s="228"/>
      <c r="N7" s="121"/>
      <c r="O7" s="59"/>
      <c r="P7" s="59"/>
      <c r="Q7" s="59"/>
      <c r="R7" s="4"/>
      <c r="S7" s="4"/>
      <c r="T7" s="228"/>
      <c r="U7" s="96"/>
      <c r="V7" s="4"/>
      <c r="W7" s="4"/>
      <c r="X7" s="4"/>
      <c r="Y7" s="4"/>
      <c r="Z7" s="4"/>
      <c r="AA7" s="4"/>
      <c r="AB7" s="4"/>
      <c r="AC7" s="4"/>
      <c r="AD7" s="4"/>
      <c r="AE7" s="4"/>
      <c r="AF7" s="4"/>
      <c r="AG7" s="4"/>
      <c r="AH7" s="4"/>
    </row>
    <row r="8" spans="1:34" ht="15.75" thickBot="1" x14ac:dyDescent="0.25">
      <c r="B8" s="121"/>
      <c r="D8" s="354" t="s">
        <v>242</v>
      </c>
      <c r="E8" s="355" t="s">
        <v>243</v>
      </c>
      <c r="F8" s="354" t="s">
        <v>244</v>
      </c>
      <c r="H8" s="229"/>
      <c r="I8" s="57"/>
      <c r="J8" s="410" t="s">
        <v>292</v>
      </c>
      <c r="K8" s="4"/>
      <c r="L8" s="2"/>
      <c r="M8" s="58"/>
      <c r="N8" s="57"/>
      <c r="O8" s="59"/>
      <c r="P8" s="59"/>
      <c r="Q8" s="59"/>
      <c r="R8" s="4"/>
      <c r="S8" s="230"/>
      <c r="T8" s="4"/>
      <c r="U8" s="2"/>
      <c r="V8" s="4"/>
      <c r="W8" s="4"/>
      <c r="X8" s="4"/>
      <c r="Y8" s="4"/>
      <c r="Z8" s="4"/>
      <c r="AA8" s="4"/>
      <c r="AB8" s="4"/>
      <c r="AC8" s="4"/>
      <c r="AD8" s="4"/>
      <c r="AE8" s="4"/>
      <c r="AF8" s="4"/>
      <c r="AG8" s="4"/>
      <c r="AH8" s="4"/>
    </row>
    <row r="9" spans="1:34" ht="16.5" thickBot="1" x14ac:dyDescent="0.3">
      <c r="D9" s="356">
        <v>0.9</v>
      </c>
      <c r="E9" s="357">
        <v>0.78</v>
      </c>
      <c r="F9" s="357">
        <v>1.04</v>
      </c>
      <c r="G9" s="176"/>
      <c r="H9" s="231"/>
      <c r="I9" s="4"/>
      <c r="J9" s="418" t="s">
        <v>293</v>
      </c>
      <c r="K9" s="4"/>
      <c r="L9" s="4"/>
      <c r="M9" s="4"/>
      <c r="N9" s="4"/>
      <c r="O9" s="4"/>
      <c r="P9" s="4"/>
      <c r="Q9" s="4"/>
      <c r="R9" s="4"/>
      <c r="S9" s="232"/>
      <c r="T9" s="96"/>
      <c r="U9" s="4"/>
      <c r="V9" s="4"/>
      <c r="W9" s="4"/>
      <c r="X9" s="4"/>
      <c r="Y9" s="4"/>
      <c r="Z9" s="4"/>
      <c r="AA9" s="4"/>
      <c r="AB9" s="4"/>
      <c r="AC9" s="4"/>
      <c r="AD9" s="4"/>
      <c r="AE9" s="4"/>
      <c r="AF9" s="4"/>
      <c r="AG9" s="4"/>
      <c r="AH9" s="4"/>
    </row>
    <row r="10" spans="1:34" ht="16.5" hidden="1" thickBot="1" x14ac:dyDescent="0.3">
      <c r="B10" s="227"/>
      <c r="C10" s="233" t="s">
        <v>222</v>
      </c>
      <c r="D10" s="234">
        <f>F5^D9</f>
        <v>0.97936620098508198</v>
      </c>
      <c r="E10" s="234">
        <f>F5^E9</f>
        <v>0.98209258119902565</v>
      </c>
      <c r="F10" s="419">
        <f>F5^F9</f>
        <v>0.97619498856909193</v>
      </c>
      <c r="H10" s="74"/>
      <c r="I10" s="4"/>
      <c r="K10" s="4"/>
      <c r="L10" s="2"/>
      <c r="M10" s="58"/>
      <c r="N10" s="57"/>
      <c r="O10" s="59"/>
      <c r="P10" s="59"/>
      <c r="Q10" s="4"/>
      <c r="R10" s="4"/>
      <c r="S10" s="235"/>
      <c r="T10" s="4"/>
      <c r="U10" s="2"/>
      <c r="V10" s="4"/>
      <c r="W10" s="4"/>
      <c r="X10" s="4"/>
      <c r="Y10" s="4"/>
      <c r="Z10" s="4"/>
      <c r="AA10" s="4"/>
      <c r="AB10" s="4"/>
      <c r="AC10" s="4"/>
      <c r="AD10" s="4"/>
      <c r="AE10" s="4"/>
      <c r="AF10" s="4"/>
      <c r="AG10" s="4"/>
      <c r="AH10" s="4"/>
    </row>
    <row r="11" spans="1:34" hidden="1" x14ac:dyDescent="0.2">
      <c r="B11" s="236"/>
      <c r="C11" s="237" t="s">
        <v>80</v>
      </c>
      <c r="D11" s="7">
        <f>1-D10</f>
        <v>2.0633799014918019E-2</v>
      </c>
      <c r="E11" s="7">
        <f>1-E10</f>
        <v>1.7907418800974351E-2</v>
      </c>
      <c r="F11" s="7">
        <f>1-F10</f>
        <v>2.3805011430908074E-2</v>
      </c>
      <c r="H11" s="74"/>
      <c r="I11" s="4"/>
      <c r="J11" s="33"/>
      <c r="K11" s="4"/>
      <c r="L11" s="4"/>
      <c r="M11" s="4"/>
      <c r="N11" s="4"/>
      <c r="O11" s="4"/>
      <c r="P11" s="4"/>
      <c r="Q11" s="59"/>
      <c r="R11" s="4"/>
      <c r="S11" s="230"/>
      <c r="T11" s="56"/>
      <c r="U11" s="4"/>
      <c r="V11" s="4"/>
      <c r="W11" s="4"/>
      <c r="X11" s="4"/>
      <c r="Y11" s="4"/>
      <c r="Z11" s="4"/>
      <c r="AA11" s="4"/>
      <c r="AB11" s="4"/>
      <c r="AC11" s="4"/>
      <c r="AD11" s="4"/>
      <c r="AE11" s="4"/>
      <c r="AF11" s="4"/>
      <c r="AG11" s="4"/>
      <c r="AH11" s="4"/>
    </row>
    <row r="12" spans="1:34" hidden="1" x14ac:dyDescent="0.2">
      <c r="B12" s="420"/>
      <c r="C12" s="62"/>
      <c r="D12" s="420"/>
      <c r="E12" s="420"/>
      <c r="F12" s="420"/>
      <c r="H12" s="238"/>
      <c r="I12" s="4"/>
      <c r="J12" s="239"/>
      <c r="K12" s="56"/>
      <c r="L12" s="240"/>
      <c r="M12" s="4"/>
      <c r="N12" s="4"/>
      <c r="O12" s="4"/>
      <c r="P12" s="4"/>
      <c r="Q12" s="4"/>
      <c r="R12" s="4"/>
      <c r="S12" s="241"/>
      <c r="T12" s="242"/>
      <c r="U12" s="240"/>
      <c r="V12" s="4"/>
      <c r="W12" s="4"/>
      <c r="X12" s="4"/>
      <c r="Y12" s="4"/>
      <c r="Z12" s="4"/>
      <c r="AA12" s="4"/>
      <c r="AB12" s="4"/>
      <c r="AC12" s="4"/>
      <c r="AD12" s="4"/>
      <c r="AE12" s="4"/>
      <c r="AF12" s="4"/>
      <c r="AG12" s="4"/>
      <c r="AH12" s="4"/>
    </row>
    <row r="13" spans="1:34" ht="15" hidden="1" thickBot="1" x14ac:dyDescent="0.3">
      <c r="B13" s="421"/>
      <c r="C13" s="422" t="s">
        <v>223</v>
      </c>
      <c r="D13" s="243" t="s">
        <v>28</v>
      </c>
      <c r="E13" s="244">
        <f>D10-F5</f>
        <v>2.266200985082012E-3</v>
      </c>
      <c r="F13" s="245">
        <f>F10-F5</f>
        <v>-9.0501143090804259E-4</v>
      </c>
      <c r="G13" s="246">
        <f>E10-F5</f>
        <v>4.9925811990256808E-3</v>
      </c>
      <c r="H13" s="74"/>
      <c r="I13" s="4"/>
      <c r="J13" s="241"/>
      <c r="K13" s="242"/>
      <c r="L13" s="4"/>
      <c r="M13" s="247"/>
      <c r="N13" s="4"/>
      <c r="O13" s="4"/>
      <c r="P13" s="4"/>
      <c r="Q13" s="4"/>
      <c r="R13" s="4"/>
      <c r="S13" s="4"/>
      <c r="T13" s="4"/>
      <c r="U13" s="4"/>
      <c r="V13" s="4"/>
      <c r="W13" s="4"/>
      <c r="X13" s="4"/>
      <c r="Y13" s="4"/>
      <c r="Z13" s="4"/>
      <c r="AA13" s="4"/>
      <c r="AB13" s="4"/>
      <c r="AC13" s="4"/>
      <c r="AD13" s="4"/>
      <c r="AE13" s="4"/>
      <c r="AF13" s="4"/>
      <c r="AG13" s="4"/>
      <c r="AH13" s="4"/>
    </row>
    <row r="14" spans="1:34" ht="13.5" hidden="1" thickBot="1" x14ac:dyDescent="0.25">
      <c r="B14" s="423"/>
      <c r="C14" s="424" t="s">
        <v>68</v>
      </c>
      <c r="D14" s="425" t="s">
        <v>29</v>
      </c>
      <c r="E14" s="248">
        <f>1/E13</f>
        <v>441.26712793031942</v>
      </c>
      <c r="F14" s="249">
        <f>1/G13</f>
        <v>200.29719300211951</v>
      </c>
      <c r="G14" s="250">
        <f>1/F13</f>
        <v>-1104.958419140243</v>
      </c>
      <c r="J14" s="5"/>
      <c r="K14" s="5"/>
      <c r="P14" s="5"/>
      <c r="Q14" s="5"/>
      <c r="R14" s="12"/>
      <c r="S14" s="12"/>
      <c r="T14" s="12"/>
      <c r="U14" s="12"/>
      <c r="V14" s="12"/>
      <c r="W14" s="12"/>
      <c r="X14" s="12"/>
    </row>
    <row r="15" spans="1:34" hidden="1" x14ac:dyDescent="0.2">
      <c r="B15" s="420"/>
      <c r="C15" s="420"/>
      <c r="D15" s="420"/>
      <c r="E15" s="420"/>
      <c r="F15" s="420"/>
      <c r="J15" s="5"/>
      <c r="K15" s="5"/>
      <c r="P15" s="5"/>
      <c r="Q15" s="5"/>
    </row>
    <row r="16" spans="1:34" ht="15.75" hidden="1" x14ac:dyDescent="0.25">
      <c r="B16" s="426"/>
      <c r="C16" s="134" t="s">
        <v>92</v>
      </c>
      <c r="D16" s="251" t="s">
        <v>93</v>
      </c>
      <c r="E16" s="252">
        <f>E14</f>
        <v>441.26712793031942</v>
      </c>
      <c r="F16" s="252">
        <f>F14</f>
        <v>200.29719300211951</v>
      </c>
      <c r="G16" s="252">
        <f>G14</f>
        <v>-1104.958419140243</v>
      </c>
      <c r="J16" s="5"/>
      <c r="K16" s="5"/>
      <c r="P16" s="5"/>
      <c r="Q16" s="5"/>
    </row>
    <row r="17" spans="1:17" s="4" customFormat="1" hidden="1" x14ac:dyDescent="0.2">
      <c r="A17" s="5"/>
      <c r="B17" s="427"/>
      <c r="C17" s="427"/>
      <c r="D17" s="253" t="s">
        <v>54</v>
      </c>
      <c r="E17" s="254">
        <f>(1-C5)*E14</f>
        <v>431.16211070071512</v>
      </c>
      <c r="F17" s="254">
        <f>(1-C5)*F14</f>
        <v>195.71038728237096</v>
      </c>
      <c r="G17" s="254">
        <f>(1-C5)*G14</f>
        <v>-1079.6548713419313</v>
      </c>
      <c r="I17" s="127"/>
    </row>
    <row r="18" spans="1:17" s="4" customFormat="1" hidden="1" x14ac:dyDescent="0.2">
      <c r="A18" s="5"/>
      <c r="B18" s="428"/>
      <c r="C18" s="428"/>
      <c r="D18" s="144" t="s">
        <v>89</v>
      </c>
      <c r="E18" s="255">
        <f>E14*E13</f>
        <v>1</v>
      </c>
      <c r="F18" s="255">
        <f>F14*G13</f>
        <v>1</v>
      </c>
      <c r="G18" s="255">
        <f>G14*F13</f>
        <v>1</v>
      </c>
    </row>
    <row r="19" spans="1:17" s="4" customFormat="1" hidden="1" x14ac:dyDescent="0.2">
      <c r="A19" s="5"/>
      <c r="B19" s="429"/>
      <c r="C19" s="429"/>
      <c r="D19" s="256" t="s">
        <v>55</v>
      </c>
      <c r="E19" s="257">
        <f>(C5-E13)*E14</f>
        <v>9.1050172296043144</v>
      </c>
      <c r="F19" s="257">
        <f>(C5-G13)*F14</f>
        <v>3.5868057197485368</v>
      </c>
      <c r="G19" s="257">
        <f>(C5-F13)*G14</f>
        <v>-26.303547798311566</v>
      </c>
    </row>
    <row r="20" spans="1:17" s="4" customFormat="1" hidden="1" x14ac:dyDescent="0.2">
      <c r="A20" s="5"/>
      <c r="B20" s="430"/>
      <c r="C20" s="430"/>
      <c r="D20" s="430"/>
      <c r="E20" s="258"/>
      <c r="F20" s="258"/>
      <c r="G20" s="258"/>
      <c r="J20" s="154"/>
      <c r="K20" s="154"/>
      <c r="L20" s="156"/>
    </row>
    <row r="21" spans="1:17" s="4" customFormat="1" ht="15.75" hidden="1" x14ac:dyDescent="0.25">
      <c r="A21" s="5"/>
      <c r="B21" s="426"/>
      <c r="C21" s="134" t="s">
        <v>94</v>
      </c>
      <c r="D21" s="251" t="s">
        <v>95</v>
      </c>
      <c r="E21" s="252">
        <f>E14</f>
        <v>441.26712793031942</v>
      </c>
      <c r="F21" s="252">
        <f>F14</f>
        <v>200.29719300211951</v>
      </c>
      <c r="G21" s="252">
        <f>G14</f>
        <v>-1104.958419140243</v>
      </c>
      <c r="I21" s="154"/>
      <c r="J21" s="154"/>
      <c r="K21" s="155"/>
      <c r="L21" s="156"/>
    </row>
    <row r="22" spans="1:17" s="4" customFormat="1" hidden="1" x14ac:dyDescent="0.2">
      <c r="A22" s="5"/>
      <c r="B22" s="431"/>
      <c r="C22" s="431"/>
      <c r="D22" s="158" t="s">
        <v>54</v>
      </c>
      <c r="E22" s="254">
        <f>ABS((1-(C5-E13))*E14)</f>
        <v>432.16211070071512</v>
      </c>
      <c r="F22" s="254">
        <f>ABS((1-(C5-G13))*F14)</f>
        <v>196.71038728237096</v>
      </c>
      <c r="G22" s="254">
        <f>ABS((1-(C5-F13))*G14)</f>
        <v>1078.6548713419313</v>
      </c>
      <c r="I22" s="154"/>
      <c r="J22" s="154"/>
      <c r="K22" s="154"/>
      <c r="L22" s="156"/>
    </row>
    <row r="23" spans="1:17" hidden="1" x14ac:dyDescent="0.2">
      <c r="B23" s="432"/>
      <c r="C23" s="432"/>
      <c r="D23" s="259" t="s">
        <v>90</v>
      </c>
      <c r="E23" s="260">
        <f>E14*E13</f>
        <v>1</v>
      </c>
      <c r="F23" s="249">
        <f>F14*G13</f>
        <v>1</v>
      </c>
      <c r="G23" s="249">
        <f>G14*F13</f>
        <v>1</v>
      </c>
      <c r="J23" s="5"/>
      <c r="K23" s="5"/>
      <c r="P23" s="5"/>
      <c r="Q23" s="5"/>
    </row>
    <row r="24" spans="1:17" hidden="1" x14ac:dyDescent="0.2">
      <c r="B24" s="433"/>
      <c r="C24" s="434"/>
      <c r="D24" s="261" t="s">
        <v>91</v>
      </c>
      <c r="E24" s="257">
        <f>ABS(C5*E14)</f>
        <v>10.105017229604314</v>
      </c>
      <c r="F24" s="257">
        <f>ABS(C5*F14)</f>
        <v>4.5868057197485372</v>
      </c>
      <c r="G24" s="257">
        <f>ABS(C5*G14)</f>
        <v>25.303547798311566</v>
      </c>
      <c r="I24" s="6"/>
      <c r="J24" s="6"/>
      <c r="K24" s="6"/>
      <c r="P24" s="5"/>
      <c r="Q24" s="5"/>
    </row>
    <row r="25" spans="1:17" s="4" customFormat="1" hidden="1" x14ac:dyDescent="0.2">
      <c r="A25" s="5"/>
      <c r="B25" s="435"/>
      <c r="C25" s="436"/>
      <c r="D25" s="171"/>
      <c r="E25" s="172"/>
      <c r="F25" s="172"/>
      <c r="G25" s="172"/>
      <c r="I25" s="1"/>
      <c r="J25" s="1"/>
      <c r="K25" s="1"/>
    </row>
    <row r="26" spans="1:17" hidden="1" x14ac:dyDescent="0.2">
      <c r="B26" s="437" t="s">
        <v>73</v>
      </c>
      <c r="C26" s="438"/>
      <c r="D26" s="438"/>
      <c r="E26" s="262">
        <f>ROUND(D9,2)</f>
        <v>0.9</v>
      </c>
      <c r="F26" s="263">
        <f>ROUND(E13,4)</f>
        <v>2.3E-3</v>
      </c>
      <c r="G26" s="264">
        <f>ROUND(E14,0)</f>
        <v>441</v>
      </c>
      <c r="J26" s="5"/>
      <c r="K26" s="5"/>
      <c r="P26" s="5"/>
      <c r="Q26" s="5"/>
    </row>
    <row r="27" spans="1:17" hidden="1" x14ac:dyDescent="0.2">
      <c r="B27" s="439" t="s">
        <v>75</v>
      </c>
      <c r="C27" s="440">
        <f>ROUND(D11,4)</f>
        <v>2.06E-2</v>
      </c>
      <c r="D27" s="440">
        <f>ROUND(C5,4)</f>
        <v>2.29E-2</v>
      </c>
      <c r="E27" s="265">
        <f>ROUND(E9,2)</f>
        <v>0.78</v>
      </c>
      <c r="F27" s="266">
        <f>ROUND(F13,4)</f>
        <v>-8.9999999999999998E-4</v>
      </c>
      <c r="G27" s="267">
        <f>ROUND(F14,0)</f>
        <v>200</v>
      </c>
      <c r="P27" s="5"/>
      <c r="Q27" s="5"/>
    </row>
    <row r="28" spans="1:17" hidden="1" x14ac:dyDescent="0.2">
      <c r="B28" s="439" t="s">
        <v>74</v>
      </c>
      <c r="C28" s="441"/>
      <c r="D28" s="441"/>
      <c r="E28" s="265">
        <f>ROUND(F9,2)</f>
        <v>1.04</v>
      </c>
      <c r="F28" s="266">
        <f>ROUND(G13,4)</f>
        <v>5.0000000000000001E-3</v>
      </c>
      <c r="G28" s="267">
        <f>ROUND(G14,0)</f>
        <v>-1105</v>
      </c>
      <c r="P28" s="5"/>
      <c r="Q28" s="5"/>
    </row>
    <row r="29" spans="1:17" hidden="1" x14ac:dyDescent="0.2">
      <c r="B29" s="439" t="s">
        <v>76</v>
      </c>
      <c r="C29" s="210" t="s">
        <v>105</v>
      </c>
      <c r="D29" s="210" t="s">
        <v>106</v>
      </c>
      <c r="E29" s="210" t="s">
        <v>79</v>
      </c>
      <c r="F29" s="210" t="s">
        <v>78</v>
      </c>
      <c r="G29" s="210" t="s">
        <v>71</v>
      </c>
      <c r="J29" s="5"/>
      <c r="K29" s="5"/>
      <c r="P29" s="5"/>
      <c r="Q29" s="5"/>
    </row>
    <row r="30" spans="1:17" hidden="1" x14ac:dyDescent="0.2">
      <c r="B30" s="442" t="s">
        <v>24</v>
      </c>
      <c r="C30" s="210" t="str">
        <f>CONCATENATE(C27*100,B29)</f>
        <v>2,06%</v>
      </c>
      <c r="D30" s="210" t="str">
        <f>CONCATENATE(D27*100,B29)</f>
        <v>2,29%</v>
      </c>
      <c r="E30" s="210" t="str">
        <f>CONCATENATE(E26," ",B26,E27,B27,E28,B28)</f>
        <v>0,9 (0,78-1,04)</v>
      </c>
      <c r="F30" s="210" t="str">
        <f>CONCATENATE(F26*100,B29," ",B26,F27*100,B29," ",B30," ",F28*100,B29,B28)</f>
        <v>0,23% (-0,09% a 0,5%)</v>
      </c>
      <c r="G30" s="210" t="str">
        <f>CONCATENATE(G26," ",B26,G27," ",B30," ",G28,B28)</f>
        <v>441 (200 a -1105)</v>
      </c>
      <c r="J30" s="5"/>
      <c r="K30" s="5"/>
      <c r="P30" s="5"/>
      <c r="Q30" s="5"/>
    </row>
    <row r="31" spans="1:17" s="12" customFormat="1" hidden="1" x14ac:dyDescent="0.2">
      <c r="A31" s="5"/>
      <c r="B31" s="435"/>
      <c r="C31" s="2"/>
      <c r="D31" s="435"/>
      <c r="E31" s="435"/>
      <c r="F31" s="435"/>
      <c r="G31" s="4"/>
    </row>
    <row r="32" spans="1:17" x14ac:dyDescent="0.2">
      <c r="B32" s="420"/>
      <c r="C32" s="420"/>
      <c r="D32" s="443"/>
      <c r="E32" s="420"/>
      <c r="F32" s="420"/>
      <c r="J32" s="5"/>
      <c r="K32" s="5"/>
      <c r="P32" s="5"/>
      <c r="Q32" s="5"/>
    </row>
    <row r="33" spans="2:13" ht="18.75" customHeight="1" x14ac:dyDescent="0.2">
      <c r="C33" s="444" t="s">
        <v>105</v>
      </c>
      <c r="D33" s="444" t="s">
        <v>106</v>
      </c>
      <c r="E33" s="444" t="s">
        <v>79</v>
      </c>
      <c r="F33" s="444" t="s">
        <v>70</v>
      </c>
      <c r="G33" s="444" t="s">
        <v>71</v>
      </c>
      <c r="L33" s="29"/>
      <c r="M33" s="445"/>
    </row>
    <row r="34" spans="2:13" ht="20.25" customHeight="1" x14ac:dyDescent="0.2">
      <c r="C34" s="218" t="str">
        <f>C30</f>
        <v>2,06%</v>
      </c>
      <c r="D34" s="447" t="str">
        <f>D30</f>
        <v>2,29%</v>
      </c>
      <c r="E34" s="218" t="str">
        <f>E30</f>
        <v>0,9 (0,78-1,04)</v>
      </c>
      <c r="F34" s="218" t="str">
        <f>F30</f>
        <v>0,23% (-0,09% a 0,5%)</v>
      </c>
      <c r="G34" s="218" t="str">
        <f>G30</f>
        <v>441 (200 a -1105)</v>
      </c>
      <c r="J34" s="668"/>
      <c r="K34" s="26"/>
      <c r="L34" s="669"/>
      <c r="M34" s="445"/>
    </row>
    <row r="35" spans="2:13" x14ac:dyDescent="0.2">
      <c r="B35" s="129"/>
      <c r="G35" s="446"/>
      <c r="L35" s="29"/>
      <c r="M35" s="445"/>
    </row>
    <row r="36" spans="2:13" ht="13.5" thickBot="1" x14ac:dyDescent="0.25">
      <c r="B36" s="129"/>
    </row>
    <row r="37" spans="2:13" ht="36" customHeight="1" thickBot="1" x14ac:dyDescent="0.25">
      <c r="B37" s="865" t="s">
        <v>175</v>
      </c>
      <c r="C37" s="866"/>
      <c r="D37" s="866"/>
      <c r="E37" s="866"/>
      <c r="F37" s="866"/>
      <c r="G37" s="867"/>
    </row>
    <row r="38" spans="2:13" ht="37.5" customHeight="1" thickBot="1" x14ac:dyDescent="0.25">
      <c r="B38" s="871" t="s">
        <v>134</v>
      </c>
      <c r="C38" s="268" t="s">
        <v>237</v>
      </c>
      <c r="D38" s="269" t="s">
        <v>238</v>
      </c>
      <c r="E38" s="873" t="s">
        <v>255</v>
      </c>
      <c r="F38" s="874"/>
      <c r="G38" s="875"/>
    </row>
    <row r="39" spans="2:13" ht="28.5" customHeight="1" thickBot="1" x14ac:dyDescent="0.25">
      <c r="B39" s="872"/>
      <c r="C39" s="270" t="s">
        <v>132</v>
      </c>
      <c r="D39" s="221" t="s">
        <v>133</v>
      </c>
      <c r="E39" s="271" t="s">
        <v>79</v>
      </c>
      <c r="F39" s="222" t="s">
        <v>250</v>
      </c>
      <c r="G39" s="222" t="s">
        <v>247</v>
      </c>
    </row>
    <row r="40" spans="2:13" ht="19.5" customHeight="1" thickBot="1" x14ac:dyDescent="0.25">
      <c r="B40" s="272" t="s">
        <v>191</v>
      </c>
      <c r="C40" s="22"/>
      <c r="D40" s="22"/>
      <c r="E40" s="22"/>
      <c r="F40" s="22"/>
      <c r="G40" s="22"/>
      <c r="I40" s="686" t="s">
        <v>423</v>
      </c>
      <c r="J40" s="686" t="s">
        <v>424</v>
      </c>
      <c r="K40" s="680"/>
      <c r="L40" s="681"/>
      <c r="M40" s="681"/>
    </row>
    <row r="41" spans="2:13" ht="19.5" thickBot="1" x14ac:dyDescent="0.25">
      <c r="B41" s="277" t="s">
        <v>124</v>
      </c>
      <c r="C41" s="670">
        <v>2.06E-2</v>
      </c>
      <c r="D41" s="671">
        <v>2.29E-2</v>
      </c>
      <c r="E41" s="371" t="s">
        <v>422</v>
      </c>
      <c r="F41" s="280" t="s">
        <v>246</v>
      </c>
      <c r="G41" s="332" t="s">
        <v>167</v>
      </c>
      <c r="I41" s="682" t="s">
        <v>421</v>
      </c>
      <c r="J41" s="682" t="s">
        <v>428</v>
      </c>
      <c r="K41" s="688" t="s">
        <v>5</v>
      </c>
      <c r="L41" s="686" t="s">
        <v>86</v>
      </c>
      <c r="M41" s="686" t="s">
        <v>81</v>
      </c>
    </row>
    <row r="42" spans="2:13" ht="15" customHeight="1" x14ac:dyDescent="0.3">
      <c r="B42" s="224"/>
      <c r="C42" s="13"/>
      <c r="D42" s="372"/>
      <c r="H42" s="723" t="s">
        <v>433</v>
      </c>
      <c r="I42" s="683">
        <v>5.0099999999999999E-2</v>
      </c>
      <c r="J42" s="684">
        <v>0.04</v>
      </c>
      <c r="K42" s="679" t="s">
        <v>414</v>
      </c>
      <c r="L42" s="679" t="s">
        <v>415</v>
      </c>
      <c r="M42" s="685" t="s">
        <v>416</v>
      </c>
    </row>
    <row r="43" spans="2:13" ht="15" customHeight="1" thickBot="1" x14ac:dyDescent="0.35">
      <c r="B43" s="56" t="s">
        <v>108</v>
      </c>
      <c r="C43" s="13"/>
      <c r="D43" s="372"/>
      <c r="H43" s="722" t="s">
        <v>432</v>
      </c>
      <c r="I43" s="674" t="s">
        <v>419</v>
      </c>
      <c r="J43" s="675" t="s">
        <v>420</v>
      </c>
      <c r="K43" s="679" t="s">
        <v>126</v>
      </c>
      <c r="L43" s="679" t="s">
        <v>417</v>
      </c>
      <c r="M43" s="685" t="s">
        <v>418</v>
      </c>
    </row>
    <row r="44" spans="2:13" ht="21.95" customHeight="1" x14ac:dyDescent="0.2">
      <c r="B44" s="284" t="s">
        <v>109</v>
      </c>
      <c r="C44" s="323">
        <v>1.3899999999999999E-2</v>
      </c>
      <c r="D44" s="373">
        <v>1.14E-2</v>
      </c>
      <c r="E44" s="374" t="s">
        <v>126</v>
      </c>
      <c r="F44" s="286" t="s">
        <v>248</v>
      </c>
      <c r="G44" s="324" t="s">
        <v>249</v>
      </c>
      <c r="I44" s="676" t="s">
        <v>428</v>
      </c>
      <c r="J44" s="677" t="s">
        <v>428</v>
      </c>
      <c r="K44" s="689" t="s">
        <v>425</v>
      </c>
      <c r="L44" s="837" t="s">
        <v>86</v>
      </c>
      <c r="M44" s="837" t="s">
        <v>81</v>
      </c>
    </row>
    <row r="45" spans="2:13" ht="21.95" customHeight="1" x14ac:dyDescent="0.2">
      <c r="B45" s="288" t="s">
        <v>110</v>
      </c>
      <c r="C45" s="325">
        <v>7.6E-3</v>
      </c>
      <c r="D45" s="375">
        <v>5.5999999999999999E-3</v>
      </c>
      <c r="E45" s="376" t="s">
        <v>111</v>
      </c>
      <c r="F45" s="290" t="s">
        <v>166</v>
      </c>
      <c r="G45" s="326" t="s">
        <v>165</v>
      </c>
      <c r="I45" s="687" t="s">
        <v>423</v>
      </c>
      <c r="J45" s="687" t="s">
        <v>424</v>
      </c>
    </row>
    <row r="46" spans="2:13" ht="21.95" customHeight="1" x14ac:dyDescent="0.2">
      <c r="B46" s="288" t="s">
        <v>113</v>
      </c>
      <c r="C46" s="325">
        <v>1.0999999999999999E-2</v>
      </c>
      <c r="D46" s="375">
        <v>1.4500000000000001E-2</v>
      </c>
      <c r="E46" s="376" t="s">
        <v>114</v>
      </c>
      <c r="F46" s="290" t="s">
        <v>127</v>
      </c>
      <c r="G46" s="327" t="s">
        <v>129</v>
      </c>
      <c r="J46" s="678" t="s">
        <v>436</v>
      </c>
    </row>
    <row r="47" spans="2:13" ht="21.95" customHeight="1" x14ac:dyDescent="0.2">
      <c r="B47" s="328" t="s">
        <v>115</v>
      </c>
      <c r="C47" s="325">
        <v>3.8999999999999998E-3</v>
      </c>
      <c r="D47" s="375">
        <v>3.7000000000000002E-3</v>
      </c>
      <c r="E47" s="376" t="s">
        <v>116</v>
      </c>
      <c r="F47" s="290" t="s">
        <v>130</v>
      </c>
      <c r="G47" s="329" t="s">
        <v>131</v>
      </c>
    </row>
    <row r="48" spans="2:13" ht="31.5" customHeight="1" thickBot="1" x14ac:dyDescent="0.25">
      <c r="B48" s="406" t="s">
        <v>117</v>
      </c>
      <c r="C48" s="330">
        <v>8.8000000000000005E-3</v>
      </c>
      <c r="D48" s="377">
        <v>7.4999999999999997E-3</v>
      </c>
      <c r="E48" s="378" t="s">
        <v>118</v>
      </c>
      <c r="F48" s="296" t="s">
        <v>202</v>
      </c>
      <c r="G48" s="331" t="s">
        <v>203</v>
      </c>
    </row>
    <row r="52" spans="2:13" ht="13.5" thickBot="1" x14ac:dyDescent="0.25"/>
    <row r="53" spans="2:13" ht="20.25" customHeight="1" thickBot="1" x14ac:dyDescent="0.25">
      <c r="B53" s="868" t="s">
        <v>438</v>
      </c>
      <c r="C53" s="869"/>
      <c r="D53" s="869"/>
      <c r="E53" s="869"/>
      <c r="F53" s="869"/>
      <c r="G53" s="870"/>
    </row>
    <row r="54" spans="2:13" ht="39" customHeight="1" thickBot="1" x14ac:dyDescent="0.25">
      <c r="B54" s="871" t="s">
        <v>134</v>
      </c>
      <c r="C54" s="268" t="s">
        <v>237</v>
      </c>
      <c r="D54" s="269" t="s">
        <v>238</v>
      </c>
      <c r="E54" s="873" t="s">
        <v>453</v>
      </c>
      <c r="F54" s="874"/>
      <c r="G54" s="875"/>
    </row>
    <row r="55" spans="2:13" ht="26.25" thickBot="1" x14ac:dyDescent="0.25">
      <c r="B55" s="872"/>
      <c r="C55" s="270" t="s">
        <v>132</v>
      </c>
      <c r="D55" s="221" t="s">
        <v>133</v>
      </c>
      <c r="E55" s="358" t="s">
        <v>79</v>
      </c>
      <c r="F55" s="358" t="s">
        <v>250</v>
      </c>
      <c r="G55" s="358" t="s">
        <v>454</v>
      </c>
    </row>
    <row r="56" spans="2:13" ht="13.5" thickBot="1" x14ac:dyDescent="0.25">
      <c r="B56" s="272" t="s">
        <v>191</v>
      </c>
      <c r="C56" s="22"/>
      <c r="D56" s="22"/>
      <c r="E56" s="22"/>
      <c r="F56" s="22"/>
      <c r="G56" s="22"/>
      <c r="I56" s="686" t="s">
        <v>423</v>
      </c>
      <c r="J56" s="686" t="s">
        <v>424</v>
      </c>
      <c r="K56" s="680"/>
      <c r="L56" s="681"/>
      <c r="M56" s="681"/>
    </row>
    <row r="57" spans="2:13" ht="19.5" thickBot="1" x14ac:dyDescent="0.25">
      <c r="B57" s="277" t="s">
        <v>124</v>
      </c>
      <c r="C57" s="838">
        <v>6.5000000000000002E-2</v>
      </c>
      <c r="D57" s="671">
        <v>7.1999999999999995E-2</v>
      </c>
      <c r="E57" s="371" t="s">
        <v>245</v>
      </c>
      <c r="F57" s="280" t="s">
        <v>439</v>
      </c>
      <c r="G57" s="332" t="s">
        <v>440</v>
      </c>
      <c r="I57" s="682" t="s">
        <v>421</v>
      </c>
      <c r="J57" s="682" t="s">
        <v>428</v>
      </c>
      <c r="K57" s="688" t="s">
        <v>5</v>
      </c>
      <c r="L57" s="686" t="s">
        <v>86</v>
      </c>
      <c r="M57" s="686" t="s">
        <v>81</v>
      </c>
    </row>
    <row r="58" spans="2:13" ht="18.75" x14ac:dyDescent="0.3">
      <c r="B58" s="224"/>
      <c r="C58" s="13"/>
      <c r="D58" s="372"/>
      <c r="E58" s="839"/>
      <c r="F58" s="840"/>
      <c r="G58" s="840"/>
      <c r="H58" s="723" t="s">
        <v>433</v>
      </c>
      <c r="I58" s="683">
        <v>5.0099999999999999E-2</v>
      </c>
      <c r="J58" s="683">
        <v>0.04</v>
      </c>
      <c r="K58" s="679" t="s">
        <v>414</v>
      </c>
      <c r="L58" s="679" t="s">
        <v>415</v>
      </c>
      <c r="M58" s="685" t="s">
        <v>416</v>
      </c>
    </row>
    <row r="59" spans="2:13" ht="19.5" thickBot="1" x14ac:dyDescent="0.35">
      <c r="B59" s="56" t="s">
        <v>108</v>
      </c>
      <c r="C59" s="13"/>
      <c r="D59" s="372"/>
      <c r="E59" s="839"/>
      <c r="F59" s="840"/>
      <c r="G59" s="840"/>
      <c r="H59" s="722" t="s">
        <v>432</v>
      </c>
      <c r="I59" s="841">
        <v>4.8599999999999997E-2</v>
      </c>
      <c r="J59" s="842">
        <v>0.04</v>
      </c>
      <c r="K59" s="679" t="s">
        <v>126</v>
      </c>
      <c r="L59" s="679" t="s">
        <v>417</v>
      </c>
      <c r="M59" s="685" t="s">
        <v>418</v>
      </c>
    </row>
    <row r="60" spans="2:13" ht="18.75" x14ac:dyDescent="0.2">
      <c r="B60" s="284" t="s">
        <v>109</v>
      </c>
      <c r="C60" s="323">
        <v>4.8599999999999997E-2</v>
      </c>
      <c r="D60" s="373">
        <v>0.04</v>
      </c>
      <c r="E60" s="374" t="s">
        <v>126</v>
      </c>
      <c r="F60" s="286" t="s">
        <v>417</v>
      </c>
      <c r="G60" s="324" t="s">
        <v>418</v>
      </c>
      <c r="I60" s="676" t="s">
        <v>428</v>
      </c>
      <c r="J60" s="677" t="s">
        <v>428</v>
      </c>
      <c r="K60" s="689" t="s">
        <v>425</v>
      </c>
      <c r="L60" s="837" t="s">
        <v>86</v>
      </c>
      <c r="M60" s="837" t="s">
        <v>81</v>
      </c>
    </row>
    <row r="61" spans="2:13" ht="18.75" x14ac:dyDescent="0.2">
      <c r="B61" s="288" t="s">
        <v>110</v>
      </c>
      <c r="C61" s="325">
        <v>2.4199999999999999E-2</v>
      </c>
      <c r="D61" s="375">
        <v>1.7999999999999999E-2</v>
      </c>
      <c r="E61" s="376" t="s">
        <v>111</v>
      </c>
      <c r="F61" s="290" t="s">
        <v>441</v>
      </c>
      <c r="G61" s="326" t="s">
        <v>442</v>
      </c>
      <c r="I61" s="687" t="s">
        <v>423</v>
      </c>
      <c r="J61" s="687" t="s">
        <v>424</v>
      </c>
    </row>
    <row r="62" spans="2:13" ht="18.75" x14ac:dyDescent="0.2">
      <c r="B62" s="288" t="s">
        <v>113</v>
      </c>
      <c r="C62" s="325">
        <v>3.5200000000000002E-2</v>
      </c>
      <c r="D62" s="375">
        <v>4.5999999999999999E-2</v>
      </c>
      <c r="E62" s="376" t="s">
        <v>443</v>
      </c>
      <c r="F62" s="290" t="s">
        <v>444</v>
      </c>
      <c r="G62" s="327" t="s">
        <v>445</v>
      </c>
      <c r="J62" s="678"/>
    </row>
    <row r="63" spans="2:13" ht="18.75" x14ac:dyDescent="0.2">
      <c r="B63" s="328" t="s">
        <v>115</v>
      </c>
      <c r="C63" s="325">
        <v>1.2699999999999999E-2</v>
      </c>
      <c r="D63" s="375">
        <v>1.2E-2</v>
      </c>
      <c r="E63" s="376" t="s">
        <v>446</v>
      </c>
      <c r="F63" s="290" t="s">
        <v>447</v>
      </c>
      <c r="G63" s="329" t="s">
        <v>448</v>
      </c>
    </row>
    <row r="64" spans="2:13" ht="26.25" thickBot="1" x14ac:dyDescent="0.25">
      <c r="B64" s="406" t="s">
        <v>117</v>
      </c>
      <c r="C64" s="330">
        <v>2.8299999999999999E-2</v>
      </c>
      <c r="D64" s="377">
        <v>2.4E-2</v>
      </c>
      <c r="E64" s="378" t="s">
        <v>449</v>
      </c>
      <c r="F64" s="296" t="s">
        <v>450</v>
      </c>
      <c r="G64" s="331" t="s">
        <v>451</v>
      </c>
    </row>
  </sheetData>
  <mergeCells count="9">
    <mergeCell ref="B53:G53"/>
    <mergeCell ref="B54:B55"/>
    <mergeCell ref="E54:G54"/>
    <mergeCell ref="A2:G2"/>
    <mergeCell ref="A3:G3"/>
    <mergeCell ref="D7:F7"/>
    <mergeCell ref="B37:G37"/>
    <mergeCell ref="B38:B39"/>
    <mergeCell ref="E38:G38"/>
  </mergeCells>
  <pageMargins left="0.7" right="0.7" top="0.75" bottom="0.75" header="0.3" footer="0.3"/>
  <pageSetup paperSize="9" orientation="portrait" horizontalDpi="300" verticalDpi="300" r:id="rId1"/>
  <ignoredErrors>
    <ignoredError sqref="I43:J4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6"/>
  <sheetViews>
    <sheetView zoomScaleNormal="100" workbookViewId="0">
      <selection activeCell="E51" sqref="E51"/>
    </sheetView>
  </sheetViews>
  <sheetFormatPr baseColWidth="10" defaultRowHeight="12.75" x14ac:dyDescent="0.2"/>
  <cols>
    <col min="1" max="1" width="26.140625" style="5" customWidth="1"/>
    <col min="2" max="2" width="25.85546875" style="5" customWidth="1"/>
    <col min="3" max="3" width="21.85546875" style="5" customWidth="1"/>
    <col min="4" max="4" width="20.85546875" style="5" customWidth="1"/>
    <col min="5" max="5" width="19.85546875" style="5" customWidth="1"/>
    <col min="6" max="6" width="14.140625" style="5" customWidth="1"/>
    <col min="7" max="7" width="9" style="5" customWidth="1"/>
    <col min="8" max="8" width="14.5703125" style="5" customWidth="1"/>
    <col min="9" max="9" width="20.5703125" style="5" customWidth="1"/>
    <col min="10" max="10" width="15" style="5" bestFit="1" customWidth="1"/>
    <col min="11" max="11" width="11.42578125" style="5"/>
    <col min="12" max="12" width="13" style="5" customWidth="1"/>
    <col min="13" max="13" width="14.5703125" style="5" bestFit="1" customWidth="1"/>
    <col min="14" max="14" width="13.85546875" style="12" bestFit="1" customWidth="1"/>
    <col min="15" max="15" width="11.42578125" style="12"/>
    <col min="16" max="16" width="13.85546875" style="5" bestFit="1" customWidth="1"/>
    <col min="17" max="17" width="11.42578125" style="5"/>
    <col min="18" max="18" width="13.85546875" style="5" bestFit="1" customWidth="1"/>
    <col min="19" max="19" width="12.140625" style="5" bestFit="1" customWidth="1"/>
    <col min="20" max="20" width="11.42578125" style="12"/>
    <col min="21" max="22" width="11.42578125" style="5"/>
    <col min="23" max="23" width="9.42578125" style="5" customWidth="1"/>
    <col min="24" max="24" width="12.7109375" style="5" bestFit="1" customWidth="1"/>
    <col min="25" max="25" width="14.28515625" style="5" bestFit="1" customWidth="1"/>
    <col min="26" max="256" width="11.42578125" style="5"/>
    <col min="257" max="257" width="26.140625" style="5" customWidth="1"/>
    <col min="258" max="258" width="25.85546875" style="5" customWidth="1"/>
    <col min="259" max="259" width="21.85546875" style="5" customWidth="1"/>
    <col min="260" max="260" width="22.7109375" style="5" customWidth="1"/>
    <col min="261" max="261" width="19.85546875" style="5" customWidth="1"/>
    <col min="262" max="262" width="20.28515625" style="5" customWidth="1"/>
    <col min="263" max="263" width="4.5703125" style="5" customWidth="1"/>
    <col min="264" max="264" width="14.5703125" style="5" customWidth="1"/>
    <col min="265" max="265" width="20.5703125" style="5" customWidth="1"/>
    <col min="266" max="266" width="15" style="5" bestFit="1" customWidth="1"/>
    <col min="267" max="267" width="11.42578125" style="5"/>
    <col min="268" max="268" width="13" style="5" customWidth="1"/>
    <col min="269" max="269" width="14.5703125" style="5" bestFit="1" customWidth="1"/>
    <col min="270" max="270" width="13.85546875" style="5" bestFit="1" customWidth="1"/>
    <col min="271" max="271" width="11.42578125" style="5"/>
    <col min="272" max="272" width="13.85546875" style="5" bestFit="1" customWidth="1"/>
    <col min="273" max="273" width="11.42578125" style="5"/>
    <col min="274" max="274" width="13.85546875" style="5" bestFit="1" customWidth="1"/>
    <col min="275" max="275" width="12.140625" style="5" bestFit="1" customWidth="1"/>
    <col min="276" max="278" width="11.42578125" style="5"/>
    <col min="279" max="279" width="9.42578125" style="5" customWidth="1"/>
    <col min="280" max="280" width="12.7109375" style="5" bestFit="1" customWidth="1"/>
    <col min="281" max="281" width="14.28515625" style="5" bestFit="1" customWidth="1"/>
    <col min="282" max="512" width="11.42578125" style="5"/>
    <col min="513" max="513" width="26.140625" style="5" customWidth="1"/>
    <col min="514" max="514" width="25.85546875" style="5" customWidth="1"/>
    <col min="515" max="515" width="21.85546875" style="5" customWidth="1"/>
    <col min="516" max="516" width="22.7109375" style="5" customWidth="1"/>
    <col min="517" max="517" width="19.85546875" style="5" customWidth="1"/>
    <col min="518" max="518" width="20.28515625" style="5" customWidth="1"/>
    <col min="519" max="519" width="4.5703125" style="5" customWidth="1"/>
    <col min="520" max="520" width="14.5703125" style="5" customWidth="1"/>
    <col min="521" max="521" width="20.5703125" style="5" customWidth="1"/>
    <col min="522" max="522" width="15" style="5" bestFit="1" customWidth="1"/>
    <col min="523" max="523" width="11.42578125" style="5"/>
    <col min="524" max="524" width="13" style="5" customWidth="1"/>
    <col min="525" max="525" width="14.5703125" style="5" bestFit="1" customWidth="1"/>
    <col min="526" max="526" width="13.85546875" style="5" bestFit="1" customWidth="1"/>
    <col min="527" max="527" width="11.42578125" style="5"/>
    <col min="528" max="528" width="13.85546875" style="5" bestFit="1" customWidth="1"/>
    <col min="529" max="529" width="11.42578125" style="5"/>
    <col min="530" max="530" width="13.85546875" style="5" bestFit="1" customWidth="1"/>
    <col min="531" max="531" width="12.140625" style="5" bestFit="1" customWidth="1"/>
    <col min="532" max="534" width="11.42578125" style="5"/>
    <col min="535" max="535" width="9.42578125" style="5" customWidth="1"/>
    <col min="536" max="536" width="12.7109375" style="5" bestFit="1" customWidth="1"/>
    <col min="537" max="537" width="14.28515625" style="5" bestFit="1" customWidth="1"/>
    <col min="538" max="768" width="11.42578125" style="5"/>
    <col min="769" max="769" width="26.140625" style="5" customWidth="1"/>
    <col min="770" max="770" width="25.85546875" style="5" customWidth="1"/>
    <col min="771" max="771" width="21.85546875" style="5" customWidth="1"/>
    <col min="772" max="772" width="22.7109375" style="5" customWidth="1"/>
    <col min="773" max="773" width="19.85546875" style="5" customWidth="1"/>
    <col min="774" max="774" width="20.28515625" style="5" customWidth="1"/>
    <col min="775" max="775" width="4.5703125" style="5" customWidth="1"/>
    <col min="776" max="776" width="14.5703125" style="5" customWidth="1"/>
    <col min="777" max="777" width="20.5703125" style="5" customWidth="1"/>
    <col min="778" max="778" width="15" style="5" bestFit="1" customWidth="1"/>
    <col min="779" max="779" width="11.42578125" style="5"/>
    <col min="780" max="780" width="13" style="5" customWidth="1"/>
    <col min="781" max="781" width="14.5703125" style="5" bestFit="1" customWidth="1"/>
    <col min="782" max="782" width="13.85546875" style="5" bestFit="1" customWidth="1"/>
    <col min="783" max="783" width="11.42578125" style="5"/>
    <col min="784" max="784" width="13.85546875" style="5" bestFit="1" customWidth="1"/>
    <col min="785" max="785" width="11.42578125" style="5"/>
    <col min="786" max="786" width="13.85546875" style="5" bestFit="1" customWidth="1"/>
    <col min="787" max="787" width="12.140625" style="5" bestFit="1" customWidth="1"/>
    <col min="788" max="790" width="11.42578125" style="5"/>
    <col min="791" max="791" width="9.42578125" style="5" customWidth="1"/>
    <col min="792" max="792" width="12.7109375" style="5" bestFit="1" customWidth="1"/>
    <col min="793" max="793" width="14.28515625" style="5" bestFit="1" customWidth="1"/>
    <col min="794" max="1024" width="11.42578125" style="5"/>
    <col min="1025" max="1025" width="26.140625" style="5" customWidth="1"/>
    <col min="1026" max="1026" width="25.85546875" style="5" customWidth="1"/>
    <col min="1027" max="1027" width="21.85546875" style="5" customWidth="1"/>
    <col min="1028" max="1028" width="22.7109375" style="5" customWidth="1"/>
    <col min="1029" max="1029" width="19.85546875" style="5" customWidth="1"/>
    <col min="1030" max="1030" width="20.28515625" style="5" customWidth="1"/>
    <col min="1031" max="1031" width="4.5703125" style="5" customWidth="1"/>
    <col min="1032" max="1032" width="14.5703125" style="5" customWidth="1"/>
    <col min="1033" max="1033" width="20.5703125" style="5" customWidth="1"/>
    <col min="1034" max="1034" width="15" style="5" bestFit="1" customWidth="1"/>
    <col min="1035" max="1035" width="11.42578125" style="5"/>
    <col min="1036" max="1036" width="13" style="5" customWidth="1"/>
    <col min="1037" max="1037" width="14.5703125" style="5" bestFit="1" customWidth="1"/>
    <col min="1038" max="1038" width="13.85546875" style="5" bestFit="1" customWidth="1"/>
    <col min="1039" max="1039" width="11.42578125" style="5"/>
    <col min="1040" max="1040" width="13.85546875" style="5" bestFit="1" customWidth="1"/>
    <col min="1041" max="1041" width="11.42578125" style="5"/>
    <col min="1042" max="1042" width="13.85546875" style="5" bestFit="1" customWidth="1"/>
    <col min="1043" max="1043" width="12.140625" style="5" bestFit="1" customWidth="1"/>
    <col min="1044" max="1046" width="11.42578125" style="5"/>
    <col min="1047" max="1047" width="9.42578125" style="5" customWidth="1"/>
    <col min="1048" max="1048" width="12.7109375" style="5" bestFit="1" customWidth="1"/>
    <col min="1049" max="1049" width="14.28515625" style="5" bestFit="1" customWidth="1"/>
    <col min="1050" max="1280" width="11.42578125" style="5"/>
    <col min="1281" max="1281" width="26.140625" style="5" customWidth="1"/>
    <col min="1282" max="1282" width="25.85546875" style="5" customWidth="1"/>
    <col min="1283" max="1283" width="21.85546875" style="5" customWidth="1"/>
    <col min="1284" max="1284" width="22.7109375" style="5" customWidth="1"/>
    <col min="1285" max="1285" width="19.85546875" style="5" customWidth="1"/>
    <col min="1286" max="1286" width="20.28515625" style="5" customWidth="1"/>
    <col min="1287" max="1287" width="4.5703125" style="5" customWidth="1"/>
    <col min="1288" max="1288" width="14.5703125" style="5" customWidth="1"/>
    <col min="1289" max="1289" width="20.5703125" style="5" customWidth="1"/>
    <col min="1290" max="1290" width="15" style="5" bestFit="1" customWidth="1"/>
    <col min="1291" max="1291" width="11.42578125" style="5"/>
    <col min="1292" max="1292" width="13" style="5" customWidth="1"/>
    <col min="1293" max="1293" width="14.5703125" style="5" bestFit="1" customWidth="1"/>
    <col min="1294" max="1294" width="13.85546875" style="5" bestFit="1" customWidth="1"/>
    <col min="1295" max="1295" width="11.42578125" style="5"/>
    <col min="1296" max="1296" width="13.85546875" style="5" bestFit="1" customWidth="1"/>
    <col min="1297" max="1297" width="11.42578125" style="5"/>
    <col min="1298" max="1298" width="13.85546875" style="5" bestFit="1" customWidth="1"/>
    <col min="1299" max="1299" width="12.140625" style="5" bestFit="1" customWidth="1"/>
    <col min="1300" max="1302" width="11.42578125" style="5"/>
    <col min="1303" max="1303" width="9.42578125" style="5" customWidth="1"/>
    <col min="1304" max="1304" width="12.7109375" style="5" bestFit="1" customWidth="1"/>
    <col min="1305" max="1305" width="14.28515625" style="5" bestFit="1" customWidth="1"/>
    <col min="1306" max="1536" width="11.42578125" style="5"/>
    <col min="1537" max="1537" width="26.140625" style="5" customWidth="1"/>
    <col min="1538" max="1538" width="25.85546875" style="5" customWidth="1"/>
    <col min="1539" max="1539" width="21.85546875" style="5" customWidth="1"/>
    <col min="1540" max="1540" width="22.7109375" style="5" customWidth="1"/>
    <col min="1541" max="1541" width="19.85546875" style="5" customWidth="1"/>
    <col min="1542" max="1542" width="20.28515625" style="5" customWidth="1"/>
    <col min="1543" max="1543" width="4.5703125" style="5" customWidth="1"/>
    <col min="1544" max="1544" width="14.5703125" style="5" customWidth="1"/>
    <col min="1545" max="1545" width="20.5703125" style="5" customWidth="1"/>
    <col min="1546" max="1546" width="15" style="5" bestFit="1" customWidth="1"/>
    <col min="1547" max="1547" width="11.42578125" style="5"/>
    <col min="1548" max="1548" width="13" style="5" customWidth="1"/>
    <col min="1549" max="1549" width="14.5703125" style="5" bestFit="1" customWidth="1"/>
    <col min="1550" max="1550" width="13.85546875" style="5" bestFit="1" customWidth="1"/>
    <col min="1551" max="1551" width="11.42578125" style="5"/>
    <col min="1552" max="1552" width="13.85546875" style="5" bestFit="1" customWidth="1"/>
    <col min="1553" max="1553" width="11.42578125" style="5"/>
    <col min="1554" max="1554" width="13.85546875" style="5" bestFit="1" customWidth="1"/>
    <col min="1555" max="1555" width="12.140625" style="5" bestFit="1" customWidth="1"/>
    <col min="1556" max="1558" width="11.42578125" style="5"/>
    <col min="1559" max="1559" width="9.42578125" style="5" customWidth="1"/>
    <col min="1560" max="1560" width="12.7109375" style="5" bestFit="1" customWidth="1"/>
    <col min="1561" max="1561" width="14.28515625" style="5" bestFit="1" customWidth="1"/>
    <col min="1562" max="1792" width="11.42578125" style="5"/>
    <col min="1793" max="1793" width="26.140625" style="5" customWidth="1"/>
    <col min="1794" max="1794" width="25.85546875" style="5" customWidth="1"/>
    <col min="1795" max="1795" width="21.85546875" style="5" customWidth="1"/>
    <col min="1796" max="1796" width="22.7109375" style="5" customWidth="1"/>
    <col min="1797" max="1797" width="19.85546875" style="5" customWidth="1"/>
    <col min="1798" max="1798" width="20.28515625" style="5" customWidth="1"/>
    <col min="1799" max="1799" width="4.5703125" style="5" customWidth="1"/>
    <col min="1800" max="1800" width="14.5703125" style="5" customWidth="1"/>
    <col min="1801" max="1801" width="20.5703125" style="5" customWidth="1"/>
    <col min="1802" max="1802" width="15" style="5" bestFit="1" customWidth="1"/>
    <col min="1803" max="1803" width="11.42578125" style="5"/>
    <col min="1804" max="1804" width="13" style="5" customWidth="1"/>
    <col min="1805" max="1805" width="14.5703125" style="5" bestFit="1" customWidth="1"/>
    <col min="1806" max="1806" width="13.85546875" style="5" bestFit="1" customWidth="1"/>
    <col min="1807" max="1807" width="11.42578125" style="5"/>
    <col min="1808" max="1808" width="13.85546875" style="5" bestFit="1" customWidth="1"/>
    <col min="1809" max="1809" width="11.42578125" style="5"/>
    <col min="1810" max="1810" width="13.85546875" style="5" bestFit="1" customWidth="1"/>
    <col min="1811" max="1811" width="12.140625" style="5" bestFit="1" customWidth="1"/>
    <col min="1812" max="1814" width="11.42578125" style="5"/>
    <col min="1815" max="1815" width="9.42578125" style="5" customWidth="1"/>
    <col min="1816" max="1816" width="12.7109375" style="5" bestFit="1" customWidth="1"/>
    <col min="1817" max="1817" width="14.28515625" style="5" bestFit="1" customWidth="1"/>
    <col min="1818" max="2048" width="11.42578125" style="5"/>
    <col min="2049" max="2049" width="26.140625" style="5" customWidth="1"/>
    <col min="2050" max="2050" width="25.85546875" style="5" customWidth="1"/>
    <col min="2051" max="2051" width="21.85546875" style="5" customWidth="1"/>
    <col min="2052" max="2052" width="22.7109375" style="5" customWidth="1"/>
    <col min="2053" max="2053" width="19.85546875" style="5" customWidth="1"/>
    <col min="2054" max="2054" width="20.28515625" style="5" customWidth="1"/>
    <col min="2055" max="2055" width="4.5703125" style="5" customWidth="1"/>
    <col min="2056" max="2056" width="14.5703125" style="5" customWidth="1"/>
    <col min="2057" max="2057" width="20.5703125" style="5" customWidth="1"/>
    <col min="2058" max="2058" width="15" style="5" bestFit="1" customWidth="1"/>
    <col min="2059" max="2059" width="11.42578125" style="5"/>
    <col min="2060" max="2060" width="13" style="5" customWidth="1"/>
    <col min="2061" max="2061" width="14.5703125" style="5" bestFit="1" customWidth="1"/>
    <col min="2062" max="2062" width="13.85546875" style="5" bestFit="1" customWidth="1"/>
    <col min="2063" max="2063" width="11.42578125" style="5"/>
    <col min="2064" max="2064" width="13.85546875" style="5" bestFit="1" customWidth="1"/>
    <col min="2065" max="2065" width="11.42578125" style="5"/>
    <col min="2066" max="2066" width="13.85546875" style="5" bestFit="1" customWidth="1"/>
    <col min="2067" max="2067" width="12.140625" style="5" bestFit="1" customWidth="1"/>
    <col min="2068" max="2070" width="11.42578125" style="5"/>
    <col min="2071" max="2071" width="9.42578125" style="5" customWidth="1"/>
    <col min="2072" max="2072" width="12.7109375" style="5" bestFit="1" customWidth="1"/>
    <col min="2073" max="2073" width="14.28515625" style="5" bestFit="1" customWidth="1"/>
    <col min="2074" max="2304" width="11.42578125" style="5"/>
    <col min="2305" max="2305" width="26.140625" style="5" customWidth="1"/>
    <col min="2306" max="2306" width="25.85546875" style="5" customWidth="1"/>
    <col min="2307" max="2307" width="21.85546875" style="5" customWidth="1"/>
    <col min="2308" max="2308" width="22.7109375" style="5" customWidth="1"/>
    <col min="2309" max="2309" width="19.85546875" style="5" customWidth="1"/>
    <col min="2310" max="2310" width="20.28515625" style="5" customWidth="1"/>
    <col min="2311" max="2311" width="4.5703125" style="5" customWidth="1"/>
    <col min="2312" max="2312" width="14.5703125" style="5" customWidth="1"/>
    <col min="2313" max="2313" width="20.5703125" style="5" customWidth="1"/>
    <col min="2314" max="2314" width="15" style="5" bestFit="1" customWidth="1"/>
    <col min="2315" max="2315" width="11.42578125" style="5"/>
    <col min="2316" max="2316" width="13" style="5" customWidth="1"/>
    <col min="2317" max="2317" width="14.5703125" style="5" bestFit="1" customWidth="1"/>
    <col min="2318" max="2318" width="13.85546875" style="5" bestFit="1" customWidth="1"/>
    <col min="2319" max="2319" width="11.42578125" style="5"/>
    <col min="2320" max="2320" width="13.85546875" style="5" bestFit="1" customWidth="1"/>
    <col min="2321" max="2321" width="11.42578125" style="5"/>
    <col min="2322" max="2322" width="13.85546875" style="5" bestFit="1" customWidth="1"/>
    <col min="2323" max="2323" width="12.140625" style="5" bestFit="1" customWidth="1"/>
    <col min="2324" max="2326" width="11.42578125" style="5"/>
    <col min="2327" max="2327" width="9.42578125" style="5" customWidth="1"/>
    <col min="2328" max="2328" width="12.7109375" style="5" bestFit="1" customWidth="1"/>
    <col min="2329" max="2329" width="14.28515625" style="5" bestFit="1" customWidth="1"/>
    <col min="2330" max="2560" width="11.42578125" style="5"/>
    <col min="2561" max="2561" width="26.140625" style="5" customWidth="1"/>
    <col min="2562" max="2562" width="25.85546875" style="5" customWidth="1"/>
    <col min="2563" max="2563" width="21.85546875" style="5" customWidth="1"/>
    <col min="2564" max="2564" width="22.7109375" style="5" customWidth="1"/>
    <col min="2565" max="2565" width="19.85546875" style="5" customWidth="1"/>
    <col min="2566" max="2566" width="20.28515625" style="5" customWidth="1"/>
    <col min="2567" max="2567" width="4.5703125" style="5" customWidth="1"/>
    <col min="2568" max="2568" width="14.5703125" style="5" customWidth="1"/>
    <col min="2569" max="2569" width="20.5703125" style="5" customWidth="1"/>
    <col min="2570" max="2570" width="15" style="5" bestFit="1" customWidth="1"/>
    <col min="2571" max="2571" width="11.42578125" style="5"/>
    <col min="2572" max="2572" width="13" style="5" customWidth="1"/>
    <col min="2573" max="2573" width="14.5703125" style="5" bestFit="1" customWidth="1"/>
    <col min="2574" max="2574" width="13.85546875" style="5" bestFit="1" customWidth="1"/>
    <col min="2575" max="2575" width="11.42578125" style="5"/>
    <col min="2576" max="2576" width="13.85546875" style="5" bestFit="1" customWidth="1"/>
    <col min="2577" max="2577" width="11.42578125" style="5"/>
    <col min="2578" max="2578" width="13.85546875" style="5" bestFit="1" customWidth="1"/>
    <col min="2579" max="2579" width="12.140625" style="5" bestFit="1" customWidth="1"/>
    <col min="2580" max="2582" width="11.42578125" style="5"/>
    <col min="2583" max="2583" width="9.42578125" style="5" customWidth="1"/>
    <col min="2584" max="2584" width="12.7109375" style="5" bestFit="1" customWidth="1"/>
    <col min="2585" max="2585" width="14.28515625" style="5" bestFit="1" customWidth="1"/>
    <col min="2586" max="2816" width="11.42578125" style="5"/>
    <col min="2817" max="2817" width="26.140625" style="5" customWidth="1"/>
    <col min="2818" max="2818" width="25.85546875" style="5" customWidth="1"/>
    <col min="2819" max="2819" width="21.85546875" style="5" customWidth="1"/>
    <col min="2820" max="2820" width="22.7109375" style="5" customWidth="1"/>
    <col min="2821" max="2821" width="19.85546875" style="5" customWidth="1"/>
    <col min="2822" max="2822" width="20.28515625" style="5" customWidth="1"/>
    <col min="2823" max="2823" width="4.5703125" style="5" customWidth="1"/>
    <col min="2824" max="2824" width="14.5703125" style="5" customWidth="1"/>
    <col min="2825" max="2825" width="20.5703125" style="5" customWidth="1"/>
    <col min="2826" max="2826" width="15" style="5" bestFit="1" customWidth="1"/>
    <col min="2827" max="2827" width="11.42578125" style="5"/>
    <col min="2828" max="2828" width="13" style="5" customWidth="1"/>
    <col min="2829" max="2829" width="14.5703125" style="5" bestFit="1" customWidth="1"/>
    <col min="2830" max="2830" width="13.85546875" style="5" bestFit="1" customWidth="1"/>
    <col min="2831" max="2831" width="11.42578125" style="5"/>
    <col min="2832" max="2832" width="13.85546875" style="5" bestFit="1" customWidth="1"/>
    <col min="2833" max="2833" width="11.42578125" style="5"/>
    <col min="2834" max="2834" width="13.85546875" style="5" bestFit="1" customWidth="1"/>
    <col min="2835" max="2835" width="12.140625" style="5" bestFit="1" customWidth="1"/>
    <col min="2836" max="2838" width="11.42578125" style="5"/>
    <col min="2839" max="2839" width="9.42578125" style="5" customWidth="1"/>
    <col min="2840" max="2840" width="12.7109375" style="5" bestFit="1" customWidth="1"/>
    <col min="2841" max="2841" width="14.28515625" style="5" bestFit="1" customWidth="1"/>
    <col min="2842" max="3072" width="11.42578125" style="5"/>
    <col min="3073" max="3073" width="26.140625" style="5" customWidth="1"/>
    <col min="3074" max="3074" width="25.85546875" style="5" customWidth="1"/>
    <col min="3075" max="3075" width="21.85546875" style="5" customWidth="1"/>
    <col min="3076" max="3076" width="22.7109375" style="5" customWidth="1"/>
    <col min="3077" max="3077" width="19.85546875" style="5" customWidth="1"/>
    <col min="3078" max="3078" width="20.28515625" style="5" customWidth="1"/>
    <col min="3079" max="3079" width="4.5703125" style="5" customWidth="1"/>
    <col min="3080" max="3080" width="14.5703125" style="5" customWidth="1"/>
    <col min="3081" max="3081" width="20.5703125" style="5" customWidth="1"/>
    <col min="3082" max="3082" width="15" style="5" bestFit="1" customWidth="1"/>
    <col min="3083" max="3083" width="11.42578125" style="5"/>
    <col min="3084" max="3084" width="13" style="5" customWidth="1"/>
    <col min="3085" max="3085" width="14.5703125" style="5" bestFit="1" customWidth="1"/>
    <col min="3086" max="3086" width="13.85546875" style="5" bestFit="1" customWidth="1"/>
    <col min="3087" max="3087" width="11.42578125" style="5"/>
    <col min="3088" max="3088" width="13.85546875" style="5" bestFit="1" customWidth="1"/>
    <col min="3089" max="3089" width="11.42578125" style="5"/>
    <col min="3090" max="3090" width="13.85546875" style="5" bestFit="1" customWidth="1"/>
    <col min="3091" max="3091" width="12.140625" style="5" bestFit="1" customWidth="1"/>
    <col min="3092" max="3094" width="11.42578125" style="5"/>
    <col min="3095" max="3095" width="9.42578125" style="5" customWidth="1"/>
    <col min="3096" max="3096" width="12.7109375" style="5" bestFit="1" customWidth="1"/>
    <col min="3097" max="3097" width="14.28515625" style="5" bestFit="1" customWidth="1"/>
    <col min="3098" max="3328" width="11.42578125" style="5"/>
    <col min="3329" max="3329" width="26.140625" style="5" customWidth="1"/>
    <col min="3330" max="3330" width="25.85546875" style="5" customWidth="1"/>
    <col min="3331" max="3331" width="21.85546875" style="5" customWidth="1"/>
    <col min="3332" max="3332" width="22.7109375" style="5" customWidth="1"/>
    <col min="3333" max="3333" width="19.85546875" style="5" customWidth="1"/>
    <col min="3334" max="3334" width="20.28515625" style="5" customWidth="1"/>
    <col min="3335" max="3335" width="4.5703125" style="5" customWidth="1"/>
    <col min="3336" max="3336" width="14.5703125" style="5" customWidth="1"/>
    <col min="3337" max="3337" width="20.5703125" style="5" customWidth="1"/>
    <col min="3338" max="3338" width="15" style="5" bestFit="1" customWidth="1"/>
    <col min="3339" max="3339" width="11.42578125" style="5"/>
    <col min="3340" max="3340" width="13" style="5" customWidth="1"/>
    <col min="3341" max="3341" width="14.5703125" style="5" bestFit="1" customWidth="1"/>
    <col min="3342" max="3342" width="13.85546875" style="5" bestFit="1" customWidth="1"/>
    <col min="3343" max="3343" width="11.42578125" style="5"/>
    <col min="3344" max="3344" width="13.85546875" style="5" bestFit="1" customWidth="1"/>
    <col min="3345" max="3345" width="11.42578125" style="5"/>
    <col min="3346" max="3346" width="13.85546875" style="5" bestFit="1" customWidth="1"/>
    <col min="3347" max="3347" width="12.140625" style="5" bestFit="1" customWidth="1"/>
    <col min="3348" max="3350" width="11.42578125" style="5"/>
    <col min="3351" max="3351" width="9.42578125" style="5" customWidth="1"/>
    <col min="3352" max="3352" width="12.7109375" style="5" bestFit="1" customWidth="1"/>
    <col min="3353" max="3353" width="14.28515625" style="5" bestFit="1" customWidth="1"/>
    <col min="3354" max="3584" width="11.42578125" style="5"/>
    <col min="3585" max="3585" width="26.140625" style="5" customWidth="1"/>
    <col min="3586" max="3586" width="25.85546875" style="5" customWidth="1"/>
    <col min="3587" max="3587" width="21.85546875" style="5" customWidth="1"/>
    <col min="3588" max="3588" width="22.7109375" style="5" customWidth="1"/>
    <col min="3589" max="3589" width="19.85546875" style="5" customWidth="1"/>
    <col min="3590" max="3590" width="20.28515625" style="5" customWidth="1"/>
    <col min="3591" max="3591" width="4.5703125" style="5" customWidth="1"/>
    <col min="3592" max="3592" width="14.5703125" style="5" customWidth="1"/>
    <col min="3593" max="3593" width="20.5703125" style="5" customWidth="1"/>
    <col min="3594" max="3594" width="15" style="5" bestFit="1" customWidth="1"/>
    <col min="3595" max="3595" width="11.42578125" style="5"/>
    <col min="3596" max="3596" width="13" style="5" customWidth="1"/>
    <col min="3597" max="3597" width="14.5703125" style="5" bestFit="1" customWidth="1"/>
    <col min="3598" max="3598" width="13.85546875" style="5" bestFit="1" customWidth="1"/>
    <col min="3599" max="3599" width="11.42578125" style="5"/>
    <col min="3600" max="3600" width="13.85546875" style="5" bestFit="1" customWidth="1"/>
    <col min="3601" max="3601" width="11.42578125" style="5"/>
    <col min="3602" max="3602" width="13.85546875" style="5" bestFit="1" customWidth="1"/>
    <col min="3603" max="3603" width="12.140625" style="5" bestFit="1" customWidth="1"/>
    <col min="3604" max="3606" width="11.42578125" style="5"/>
    <col min="3607" max="3607" width="9.42578125" style="5" customWidth="1"/>
    <col min="3608" max="3608" width="12.7109375" style="5" bestFit="1" customWidth="1"/>
    <col min="3609" max="3609" width="14.28515625" style="5" bestFit="1" customWidth="1"/>
    <col min="3610" max="3840" width="11.42578125" style="5"/>
    <col min="3841" max="3841" width="26.140625" style="5" customWidth="1"/>
    <col min="3842" max="3842" width="25.85546875" style="5" customWidth="1"/>
    <col min="3843" max="3843" width="21.85546875" style="5" customWidth="1"/>
    <col min="3844" max="3844" width="22.7109375" style="5" customWidth="1"/>
    <col min="3845" max="3845" width="19.85546875" style="5" customWidth="1"/>
    <col min="3846" max="3846" width="20.28515625" style="5" customWidth="1"/>
    <col min="3847" max="3847" width="4.5703125" style="5" customWidth="1"/>
    <col min="3848" max="3848" width="14.5703125" style="5" customWidth="1"/>
    <col min="3849" max="3849" width="20.5703125" style="5" customWidth="1"/>
    <col min="3850" max="3850" width="15" style="5" bestFit="1" customWidth="1"/>
    <col min="3851" max="3851" width="11.42578125" style="5"/>
    <col min="3852" max="3852" width="13" style="5" customWidth="1"/>
    <col min="3853" max="3853" width="14.5703125" style="5" bestFit="1" customWidth="1"/>
    <col min="3854" max="3854" width="13.85546875" style="5" bestFit="1" customWidth="1"/>
    <col min="3855" max="3855" width="11.42578125" style="5"/>
    <col min="3856" max="3856" width="13.85546875" style="5" bestFit="1" customWidth="1"/>
    <col min="3857" max="3857" width="11.42578125" style="5"/>
    <col min="3858" max="3858" width="13.85546875" style="5" bestFit="1" customWidth="1"/>
    <col min="3859" max="3859" width="12.140625" style="5" bestFit="1" customWidth="1"/>
    <col min="3860" max="3862" width="11.42578125" style="5"/>
    <col min="3863" max="3863" width="9.42578125" style="5" customWidth="1"/>
    <col min="3864" max="3864" width="12.7109375" style="5" bestFit="1" customWidth="1"/>
    <col min="3865" max="3865" width="14.28515625" style="5" bestFit="1" customWidth="1"/>
    <col min="3866" max="4096" width="11.42578125" style="5"/>
    <col min="4097" max="4097" width="26.140625" style="5" customWidth="1"/>
    <col min="4098" max="4098" width="25.85546875" style="5" customWidth="1"/>
    <col min="4099" max="4099" width="21.85546875" style="5" customWidth="1"/>
    <col min="4100" max="4100" width="22.7109375" style="5" customWidth="1"/>
    <col min="4101" max="4101" width="19.85546875" style="5" customWidth="1"/>
    <col min="4102" max="4102" width="20.28515625" style="5" customWidth="1"/>
    <col min="4103" max="4103" width="4.5703125" style="5" customWidth="1"/>
    <col min="4104" max="4104" width="14.5703125" style="5" customWidth="1"/>
    <col min="4105" max="4105" width="20.5703125" style="5" customWidth="1"/>
    <col min="4106" max="4106" width="15" style="5" bestFit="1" customWidth="1"/>
    <col min="4107" max="4107" width="11.42578125" style="5"/>
    <col min="4108" max="4108" width="13" style="5" customWidth="1"/>
    <col min="4109" max="4109" width="14.5703125" style="5" bestFit="1" customWidth="1"/>
    <col min="4110" max="4110" width="13.85546875" style="5" bestFit="1" customWidth="1"/>
    <col min="4111" max="4111" width="11.42578125" style="5"/>
    <col min="4112" max="4112" width="13.85546875" style="5" bestFit="1" customWidth="1"/>
    <col min="4113" max="4113" width="11.42578125" style="5"/>
    <col min="4114" max="4114" width="13.85546875" style="5" bestFit="1" customWidth="1"/>
    <col min="4115" max="4115" width="12.140625" style="5" bestFit="1" customWidth="1"/>
    <col min="4116" max="4118" width="11.42578125" style="5"/>
    <col min="4119" max="4119" width="9.42578125" style="5" customWidth="1"/>
    <col min="4120" max="4120" width="12.7109375" style="5" bestFit="1" customWidth="1"/>
    <col min="4121" max="4121" width="14.28515625" style="5" bestFit="1" customWidth="1"/>
    <col min="4122" max="4352" width="11.42578125" style="5"/>
    <col min="4353" max="4353" width="26.140625" style="5" customWidth="1"/>
    <col min="4354" max="4354" width="25.85546875" style="5" customWidth="1"/>
    <col min="4355" max="4355" width="21.85546875" style="5" customWidth="1"/>
    <col min="4356" max="4356" width="22.7109375" style="5" customWidth="1"/>
    <col min="4357" max="4357" width="19.85546875" style="5" customWidth="1"/>
    <col min="4358" max="4358" width="20.28515625" style="5" customWidth="1"/>
    <col min="4359" max="4359" width="4.5703125" style="5" customWidth="1"/>
    <col min="4360" max="4360" width="14.5703125" style="5" customWidth="1"/>
    <col min="4361" max="4361" width="20.5703125" style="5" customWidth="1"/>
    <col min="4362" max="4362" width="15" style="5" bestFit="1" customWidth="1"/>
    <col min="4363" max="4363" width="11.42578125" style="5"/>
    <col min="4364" max="4364" width="13" style="5" customWidth="1"/>
    <col min="4365" max="4365" width="14.5703125" style="5" bestFit="1" customWidth="1"/>
    <col min="4366" max="4366" width="13.85546875" style="5" bestFit="1" customWidth="1"/>
    <col min="4367" max="4367" width="11.42578125" style="5"/>
    <col min="4368" max="4368" width="13.85546875" style="5" bestFit="1" customWidth="1"/>
    <col min="4369" max="4369" width="11.42578125" style="5"/>
    <col min="4370" max="4370" width="13.85546875" style="5" bestFit="1" customWidth="1"/>
    <col min="4371" max="4371" width="12.140625" style="5" bestFit="1" customWidth="1"/>
    <col min="4372" max="4374" width="11.42578125" style="5"/>
    <col min="4375" max="4375" width="9.42578125" style="5" customWidth="1"/>
    <col min="4376" max="4376" width="12.7109375" style="5" bestFit="1" customWidth="1"/>
    <col min="4377" max="4377" width="14.28515625" style="5" bestFit="1" customWidth="1"/>
    <col min="4378" max="4608" width="11.42578125" style="5"/>
    <col min="4609" max="4609" width="26.140625" style="5" customWidth="1"/>
    <col min="4610" max="4610" width="25.85546875" style="5" customWidth="1"/>
    <col min="4611" max="4611" width="21.85546875" style="5" customWidth="1"/>
    <col min="4612" max="4612" width="22.7109375" style="5" customWidth="1"/>
    <col min="4613" max="4613" width="19.85546875" style="5" customWidth="1"/>
    <col min="4614" max="4614" width="20.28515625" style="5" customWidth="1"/>
    <col min="4615" max="4615" width="4.5703125" style="5" customWidth="1"/>
    <col min="4616" max="4616" width="14.5703125" style="5" customWidth="1"/>
    <col min="4617" max="4617" width="20.5703125" style="5" customWidth="1"/>
    <col min="4618" max="4618" width="15" style="5" bestFit="1" customWidth="1"/>
    <col min="4619" max="4619" width="11.42578125" style="5"/>
    <col min="4620" max="4620" width="13" style="5" customWidth="1"/>
    <col min="4621" max="4621" width="14.5703125" style="5" bestFit="1" customWidth="1"/>
    <col min="4622" max="4622" width="13.85546875" style="5" bestFit="1" customWidth="1"/>
    <col min="4623" max="4623" width="11.42578125" style="5"/>
    <col min="4624" max="4624" width="13.85546875" style="5" bestFit="1" customWidth="1"/>
    <col min="4625" max="4625" width="11.42578125" style="5"/>
    <col min="4626" max="4626" width="13.85546875" style="5" bestFit="1" customWidth="1"/>
    <col min="4627" max="4627" width="12.140625" style="5" bestFit="1" customWidth="1"/>
    <col min="4628" max="4630" width="11.42578125" style="5"/>
    <col min="4631" max="4631" width="9.42578125" style="5" customWidth="1"/>
    <col min="4632" max="4632" width="12.7109375" style="5" bestFit="1" customWidth="1"/>
    <col min="4633" max="4633" width="14.28515625" style="5" bestFit="1" customWidth="1"/>
    <col min="4634" max="4864" width="11.42578125" style="5"/>
    <col min="4865" max="4865" width="26.140625" style="5" customWidth="1"/>
    <col min="4866" max="4866" width="25.85546875" style="5" customWidth="1"/>
    <col min="4867" max="4867" width="21.85546875" style="5" customWidth="1"/>
    <col min="4868" max="4868" width="22.7109375" style="5" customWidth="1"/>
    <col min="4869" max="4869" width="19.85546875" style="5" customWidth="1"/>
    <col min="4870" max="4870" width="20.28515625" style="5" customWidth="1"/>
    <col min="4871" max="4871" width="4.5703125" style="5" customWidth="1"/>
    <col min="4872" max="4872" width="14.5703125" style="5" customWidth="1"/>
    <col min="4873" max="4873" width="20.5703125" style="5" customWidth="1"/>
    <col min="4874" max="4874" width="15" style="5" bestFit="1" customWidth="1"/>
    <col min="4875" max="4875" width="11.42578125" style="5"/>
    <col min="4876" max="4876" width="13" style="5" customWidth="1"/>
    <col min="4877" max="4877" width="14.5703125" style="5" bestFit="1" customWidth="1"/>
    <col min="4878" max="4878" width="13.85546875" style="5" bestFit="1" customWidth="1"/>
    <col min="4879" max="4879" width="11.42578125" style="5"/>
    <col min="4880" max="4880" width="13.85546875" style="5" bestFit="1" customWidth="1"/>
    <col min="4881" max="4881" width="11.42578125" style="5"/>
    <col min="4882" max="4882" width="13.85546875" style="5" bestFit="1" customWidth="1"/>
    <col min="4883" max="4883" width="12.140625" style="5" bestFit="1" customWidth="1"/>
    <col min="4884" max="4886" width="11.42578125" style="5"/>
    <col min="4887" max="4887" width="9.42578125" style="5" customWidth="1"/>
    <col min="4888" max="4888" width="12.7109375" style="5" bestFit="1" customWidth="1"/>
    <col min="4889" max="4889" width="14.28515625" style="5" bestFit="1" customWidth="1"/>
    <col min="4890" max="5120" width="11.42578125" style="5"/>
    <col min="5121" max="5121" width="26.140625" style="5" customWidth="1"/>
    <col min="5122" max="5122" width="25.85546875" style="5" customWidth="1"/>
    <col min="5123" max="5123" width="21.85546875" style="5" customWidth="1"/>
    <col min="5124" max="5124" width="22.7109375" style="5" customWidth="1"/>
    <col min="5125" max="5125" width="19.85546875" style="5" customWidth="1"/>
    <col min="5126" max="5126" width="20.28515625" style="5" customWidth="1"/>
    <col min="5127" max="5127" width="4.5703125" style="5" customWidth="1"/>
    <col min="5128" max="5128" width="14.5703125" style="5" customWidth="1"/>
    <col min="5129" max="5129" width="20.5703125" style="5" customWidth="1"/>
    <col min="5130" max="5130" width="15" style="5" bestFit="1" customWidth="1"/>
    <col min="5131" max="5131" width="11.42578125" style="5"/>
    <col min="5132" max="5132" width="13" style="5" customWidth="1"/>
    <col min="5133" max="5133" width="14.5703125" style="5" bestFit="1" customWidth="1"/>
    <col min="5134" max="5134" width="13.85546875" style="5" bestFit="1" customWidth="1"/>
    <col min="5135" max="5135" width="11.42578125" style="5"/>
    <col min="5136" max="5136" width="13.85546875" style="5" bestFit="1" customWidth="1"/>
    <col min="5137" max="5137" width="11.42578125" style="5"/>
    <col min="5138" max="5138" width="13.85546875" style="5" bestFit="1" customWidth="1"/>
    <col min="5139" max="5139" width="12.140625" style="5" bestFit="1" customWidth="1"/>
    <col min="5140" max="5142" width="11.42578125" style="5"/>
    <col min="5143" max="5143" width="9.42578125" style="5" customWidth="1"/>
    <col min="5144" max="5144" width="12.7109375" style="5" bestFit="1" customWidth="1"/>
    <col min="5145" max="5145" width="14.28515625" style="5" bestFit="1" customWidth="1"/>
    <col min="5146" max="5376" width="11.42578125" style="5"/>
    <col min="5377" max="5377" width="26.140625" style="5" customWidth="1"/>
    <col min="5378" max="5378" width="25.85546875" style="5" customWidth="1"/>
    <col min="5379" max="5379" width="21.85546875" style="5" customWidth="1"/>
    <col min="5380" max="5380" width="22.7109375" style="5" customWidth="1"/>
    <col min="5381" max="5381" width="19.85546875" style="5" customWidth="1"/>
    <col min="5382" max="5382" width="20.28515625" style="5" customWidth="1"/>
    <col min="5383" max="5383" width="4.5703125" style="5" customWidth="1"/>
    <col min="5384" max="5384" width="14.5703125" style="5" customWidth="1"/>
    <col min="5385" max="5385" width="20.5703125" style="5" customWidth="1"/>
    <col min="5386" max="5386" width="15" style="5" bestFit="1" customWidth="1"/>
    <col min="5387" max="5387" width="11.42578125" style="5"/>
    <col min="5388" max="5388" width="13" style="5" customWidth="1"/>
    <col min="5389" max="5389" width="14.5703125" style="5" bestFit="1" customWidth="1"/>
    <col min="5390" max="5390" width="13.85546875" style="5" bestFit="1" customWidth="1"/>
    <col min="5391" max="5391" width="11.42578125" style="5"/>
    <col min="5392" max="5392" width="13.85546875" style="5" bestFit="1" customWidth="1"/>
    <col min="5393" max="5393" width="11.42578125" style="5"/>
    <col min="5394" max="5394" width="13.85546875" style="5" bestFit="1" customWidth="1"/>
    <col min="5395" max="5395" width="12.140625" style="5" bestFit="1" customWidth="1"/>
    <col min="5396" max="5398" width="11.42578125" style="5"/>
    <col min="5399" max="5399" width="9.42578125" style="5" customWidth="1"/>
    <col min="5400" max="5400" width="12.7109375" style="5" bestFit="1" customWidth="1"/>
    <col min="5401" max="5401" width="14.28515625" style="5" bestFit="1" customWidth="1"/>
    <col min="5402" max="5632" width="11.42578125" style="5"/>
    <col min="5633" max="5633" width="26.140625" style="5" customWidth="1"/>
    <col min="5634" max="5634" width="25.85546875" style="5" customWidth="1"/>
    <col min="5635" max="5635" width="21.85546875" style="5" customWidth="1"/>
    <col min="5636" max="5636" width="22.7109375" style="5" customWidth="1"/>
    <col min="5637" max="5637" width="19.85546875" style="5" customWidth="1"/>
    <col min="5638" max="5638" width="20.28515625" style="5" customWidth="1"/>
    <col min="5639" max="5639" width="4.5703125" style="5" customWidth="1"/>
    <col min="5640" max="5640" width="14.5703125" style="5" customWidth="1"/>
    <col min="5641" max="5641" width="20.5703125" style="5" customWidth="1"/>
    <col min="5642" max="5642" width="15" style="5" bestFit="1" customWidth="1"/>
    <col min="5643" max="5643" width="11.42578125" style="5"/>
    <col min="5644" max="5644" width="13" style="5" customWidth="1"/>
    <col min="5645" max="5645" width="14.5703125" style="5" bestFit="1" customWidth="1"/>
    <col min="5646" max="5646" width="13.85546875" style="5" bestFit="1" customWidth="1"/>
    <col min="5647" max="5647" width="11.42578125" style="5"/>
    <col min="5648" max="5648" width="13.85546875" style="5" bestFit="1" customWidth="1"/>
    <col min="5649" max="5649" width="11.42578125" style="5"/>
    <col min="5650" max="5650" width="13.85546875" style="5" bestFit="1" customWidth="1"/>
    <col min="5651" max="5651" width="12.140625" style="5" bestFit="1" customWidth="1"/>
    <col min="5652" max="5654" width="11.42578125" style="5"/>
    <col min="5655" max="5655" width="9.42578125" style="5" customWidth="1"/>
    <col min="5656" max="5656" width="12.7109375" style="5" bestFit="1" customWidth="1"/>
    <col min="5657" max="5657" width="14.28515625" style="5" bestFit="1" customWidth="1"/>
    <col min="5658" max="5888" width="11.42578125" style="5"/>
    <col min="5889" max="5889" width="26.140625" style="5" customWidth="1"/>
    <col min="5890" max="5890" width="25.85546875" style="5" customWidth="1"/>
    <col min="5891" max="5891" width="21.85546875" style="5" customWidth="1"/>
    <col min="5892" max="5892" width="22.7109375" style="5" customWidth="1"/>
    <col min="5893" max="5893" width="19.85546875" style="5" customWidth="1"/>
    <col min="5894" max="5894" width="20.28515625" style="5" customWidth="1"/>
    <col min="5895" max="5895" width="4.5703125" style="5" customWidth="1"/>
    <col min="5896" max="5896" width="14.5703125" style="5" customWidth="1"/>
    <col min="5897" max="5897" width="20.5703125" style="5" customWidth="1"/>
    <col min="5898" max="5898" width="15" style="5" bestFit="1" customWidth="1"/>
    <col min="5899" max="5899" width="11.42578125" style="5"/>
    <col min="5900" max="5900" width="13" style="5" customWidth="1"/>
    <col min="5901" max="5901" width="14.5703125" style="5" bestFit="1" customWidth="1"/>
    <col min="5902" max="5902" width="13.85546875" style="5" bestFit="1" customWidth="1"/>
    <col min="5903" max="5903" width="11.42578125" style="5"/>
    <col min="5904" max="5904" width="13.85546875" style="5" bestFit="1" customWidth="1"/>
    <col min="5905" max="5905" width="11.42578125" style="5"/>
    <col min="5906" max="5906" width="13.85546875" style="5" bestFit="1" customWidth="1"/>
    <col min="5907" max="5907" width="12.140625" style="5" bestFit="1" customWidth="1"/>
    <col min="5908" max="5910" width="11.42578125" style="5"/>
    <col min="5911" max="5911" width="9.42578125" style="5" customWidth="1"/>
    <col min="5912" max="5912" width="12.7109375" style="5" bestFit="1" customWidth="1"/>
    <col min="5913" max="5913" width="14.28515625" style="5" bestFit="1" customWidth="1"/>
    <col min="5914" max="6144" width="11.42578125" style="5"/>
    <col min="6145" max="6145" width="26.140625" style="5" customWidth="1"/>
    <col min="6146" max="6146" width="25.85546875" style="5" customWidth="1"/>
    <col min="6147" max="6147" width="21.85546875" style="5" customWidth="1"/>
    <col min="6148" max="6148" width="22.7109375" style="5" customWidth="1"/>
    <col min="6149" max="6149" width="19.85546875" style="5" customWidth="1"/>
    <col min="6150" max="6150" width="20.28515625" style="5" customWidth="1"/>
    <col min="6151" max="6151" width="4.5703125" style="5" customWidth="1"/>
    <col min="6152" max="6152" width="14.5703125" style="5" customWidth="1"/>
    <col min="6153" max="6153" width="20.5703125" style="5" customWidth="1"/>
    <col min="6154" max="6154" width="15" style="5" bestFit="1" customWidth="1"/>
    <col min="6155" max="6155" width="11.42578125" style="5"/>
    <col min="6156" max="6156" width="13" style="5" customWidth="1"/>
    <col min="6157" max="6157" width="14.5703125" style="5" bestFit="1" customWidth="1"/>
    <col min="6158" max="6158" width="13.85546875" style="5" bestFit="1" customWidth="1"/>
    <col min="6159" max="6159" width="11.42578125" style="5"/>
    <col min="6160" max="6160" width="13.85546875" style="5" bestFit="1" customWidth="1"/>
    <col min="6161" max="6161" width="11.42578125" style="5"/>
    <col min="6162" max="6162" width="13.85546875" style="5" bestFit="1" customWidth="1"/>
    <col min="6163" max="6163" width="12.140625" style="5" bestFit="1" customWidth="1"/>
    <col min="6164" max="6166" width="11.42578125" style="5"/>
    <col min="6167" max="6167" width="9.42578125" style="5" customWidth="1"/>
    <col min="6168" max="6168" width="12.7109375" style="5" bestFit="1" customWidth="1"/>
    <col min="6169" max="6169" width="14.28515625" style="5" bestFit="1" customWidth="1"/>
    <col min="6170" max="6400" width="11.42578125" style="5"/>
    <col min="6401" max="6401" width="26.140625" style="5" customWidth="1"/>
    <col min="6402" max="6402" width="25.85546875" style="5" customWidth="1"/>
    <col min="6403" max="6403" width="21.85546875" style="5" customWidth="1"/>
    <col min="6404" max="6404" width="22.7109375" style="5" customWidth="1"/>
    <col min="6405" max="6405" width="19.85546875" style="5" customWidth="1"/>
    <col min="6406" max="6406" width="20.28515625" style="5" customWidth="1"/>
    <col min="6407" max="6407" width="4.5703125" style="5" customWidth="1"/>
    <col min="6408" max="6408" width="14.5703125" style="5" customWidth="1"/>
    <col min="6409" max="6409" width="20.5703125" style="5" customWidth="1"/>
    <col min="6410" max="6410" width="15" style="5" bestFit="1" customWidth="1"/>
    <col min="6411" max="6411" width="11.42578125" style="5"/>
    <col min="6412" max="6412" width="13" style="5" customWidth="1"/>
    <col min="6413" max="6413" width="14.5703125" style="5" bestFit="1" customWidth="1"/>
    <col min="6414" max="6414" width="13.85546875" style="5" bestFit="1" customWidth="1"/>
    <col min="6415" max="6415" width="11.42578125" style="5"/>
    <col min="6416" max="6416" width="13.85546875" style="5" bestFit="1" customWidth="1"/>
    <col min="6417" max="6417" width="11.42578125" style="5"/>
    <col min="6418" max="6418" width="13.85546875" style="5" bestFit="1" customWidth="1"/>
    <col min="6419" max="6419" width="12.140625" style="5" bestFit="1" customWidth="1"/>
    <col min="6420" max="6422" width="11.42578125" style="5"/>
    <col min="6423" max="6423" width="9.42578125" style="5" customWidth="1"/>
    <col min="6424" max="6424" width="12.7109375" style="5" bestFit="1" customWidth="1"/>
    <col min="6425" max="6425" width="14.28515625" style="5" bestFit="1" customWidth="1"/>
    <col min="6426" max="6656" width="11.42578125" style="5"/>
    <col min="6657" max="6657" width="26.140625" style="5" customWidth="1"/>
    <col min="6658" max="6658" width="25.85546875" style="5" customWidth="1"/>
    <col min="6659" max="6659" width="21.85546875" style="5" customWidth="1"/>
    <col min="6660" max="6660" width="22.7109375" style="5" customWidth="1"/>
    <col min="6661" max="6661" width="19.85546875" style="5" customWidth="1"/>
    <col min="6662" max="6662" width="20.28515625" style="5" customWidth="1"/>
    <col min="6663" max="6663" width="4.5703125" style="5" customWidth="1"/>
    <col min="6664" max="6664" width="14.5703125" style="5" customWidth="1"/>
    <col min="6665" max="6665" width="20.5703125" style="5" customWidth="1"/>
    <col min="6666" max="6666" width="15" style="5" bestFit="1" customWidth="1"/>
    <col min="6667" max="6667" width="11.42578125" style="5"/>
    <col min="6668" max="6668" width="13" style="5" customWidth="1"/>
    <col min="6669" max="6669" width="14.5703125" style="5" bestFit="1" customWidth="1"/>
    <col min="6670" max="6670" width="13.85546875" style="5" bestFit="1" customWidth="1"/>
    <col min="6671" max="6671" width="11.42578125" style="5"/>
    <col min="6672" max="6672" width="13.85546875" style="5" bestFit="1" customWidth="1"/>
    <col min="6673" max="6673" width="11.42578125" style="5"/>
    <col min="6674" max="6674" width="13.85546875" style="5" bestFit="1" customWidth="1"/>
    <col min="6675" max="6675" width="12.140625" style="5" bestFit="1" customWidth="1"/>
    <col min="6676" max="6678" width="11.42578125" style="5"/>
    <col min="6679" max="6679" width="9.42578125" style="5" customWidth="1"/>
    <col min="6680" max="6680" width="12.7109375" style="5" bestFit="1" customWidth="1"/>
    <col min="6681" max="6681" width="14.28515625" style="5" bestFit="1" customWidth="1"/>
    <col min="6682" max="6912" width="11.42578125" style="5"/>
    <col min="6913" max="6913" width="26.140625" style="5" customWidth="1"/>
    <col min="6914" max="6914" width="25.85546875" style="5" customWidth="1"/>
    <col min="6915" max="6915" width="21.85546875" style="5" customWidth="1"/>
    <col min="6916" max="6916" width="22.7109375" style="5" customWidth="1"/>
    <col min="6917" max="6917" width="19.85546875" style="5" customWidth="1"/>
    <col min="6918" max="6918" width="20.28515625" style="5" customWidth="1"/>
    <col min="6919" max="6919" width="4.5703125" style="5" customWidth="1"/>
    <col min="6920" max="6920" width="14.5703125" style="5" customWidth="1"/>
    <col min="6921" max="6921" width="20.5703125" style="5" customWidth="1"/>
    <col min="6922" max="6922" width="15" style="5" bestFit="1" customWidth="1"/>
    <col min="6923" max="6923" width="11.42578125" style="5"/>
    <col min="6924" max="6924" width="13" style="5" customWidth="1"/>
    <col min="6925" max="6925" width="14.5703125" style="5" bestFit="1" customWidth="1"/>
    <col min="6926" max="6926" width="13.85546875" style="5" bestFit="1" customWidth="1"/>
    <col min="6927" max="6927" width="11.42578125" style="5"/>
    <col min="6928" max="6928" width="13.85546875" style="5" bestFit="1" customWidth="1"/>
    <col min="6929" max="6929" width="11.42578125" style="5"/>
    <col min="6930" max="6930" width="13.85546875" style="5" bestFit="1" customWidth="1"/>
    <col min="6931" max="6931" width="12.140625" style="5" bestFit="1" customWidth="1"/>
    <col min="6932" max="6934" width="11.42578125" style="5"/>
    <col min="6935" max="6935" width="9.42578125" style="5" customWidth="1"/>
    <col min="6936" max="6936" width="12.7109375" style="5" bestFit="1" customWidth="1"/>
    <col min="6937" max="6937" width="14.28515625" style="5" bestFit="1" customWidth="1"/>
    <col min="6938" max="7168" width="11.42578125" style="5"/>
    <col min="7169" max="7169" width="26.140625" style="5" customWidth="1"/>
    <col min="7170" max="7170" width="25.85546875" style="5" customWidth="1"/>
    <col min="7171" max="7171" width="21.85546875" style="5" customWidth="1"/>
    <col min="7172" max="7172" width="22.7109375" style="5" customWidth="1"/>
    <col min="7173" max="7173" width="19.85546875" style="5" customWidth="1"/>
    <col min="7174" max="7174" width="20.28515625" style="5" customWidth="1"/>
    <col min="7175" max="7175" width="4.5703125" style="5" customWidth="1"/>
    <col min="7176" max="7176" width="14.5703125" style="5" customWidth="1"/>
    <col min="7177" max="7177" width="20.5703125" style="5" customWidth="1"/>
    <col min="7178" max="7178" width="15" style="5" bestFit="1" customWidth="1"/>
    <col min="7179" max="7179" width="11.42578125" style="5"/>
    <col min="7180" max="7180" width="13" style="5" customWidth="1"/>
    <col min="7181" max="7181" width="14.5703125" style="5" bestFit="1" customWidth="1"/>
    <col min="7182" max="7182" width="13.85546875" style="5" bestFit="1" customWidth="1"/>
    <col min="7183" max="7183" width="11.42578125" style="5"/>
    <col min="7184" max="7184" width="13.85546875" style="5" bestFit="1" customWidth="1"/>
    <col min="7185" max="7185" width="11.42578125" style="5"/>
    <col min="7186" max="7186" width="13.85546875" style="5" bestFit="1" customWidth="1"/>
    <col min="7187" max="7187" width="12.140625" style="5" bestFit="1" customWidth="1"/>
    <col min="7188" max="7190" width="11.42578125" style="5"/>
    <col min="7191" max="7191" width="9.42578125" style="5" customWidth="1"/>
    <col min="7192" max="7192" width="12.7109375" style="5" bestFit="1" customWidth="1"/>
    <col min="7193" max="7193" width="14.28515625" style="5" bestFit="1" customWidth="1"/>
    <col min="7194" max="7424" width="11.42578125" style="5"/>
    <col min="7425" max="7425" width="26.140625" style="5" customWidth="1"/>
    <col min="7426" max="7426" width="25.85546875" style="5" customWidth="1"/>
    <col min="7427" max="7427" width="21.85546875" style="5" customWidth="1"/>
    <col min="7428" max="7428" width="22.7109375" style="5" customWidth="1"/>
    <col min="7429" max="7429" width="19.85546875" style="5" customWidth="1"/>
    <col min="7430" max="7430" width="20.28515625" style="5" customWidth="1"/>
    <col min="7431" max="7431" width="4.5703125" style="5" customWidth="1"/>
    <col min="7432" max="7432" width="14.5703125" style="5" customWidth="1"/>
    <col min="7433" max="7433" width="20.5703125" style="5" customWidth="1"/>
    <col min="7434" max="7434" width="15" style="5" bestFit="1" customWidth="1"/>
    <col min="7435" max="7435" width="11.42578125" style="5"/>
    <col min="7436" max="7436" width="13" style="5" customWidth="1"/>
    <col min="7437" max="7437" width="14.5703125" style="5" bestFit="1" customWidth="1"/>
    <col min="7438" max="7438" width="13.85546875" style="5" bestFit="1" customWidth="1"/>
    <col min="7439" max="7439" width="11.42578125" style="5"/>
    <col min="7440" max="7440" width="13.85546875" style="5" bestFit="1" customWidth="1"/>
    <col min="7441" max="7441" width="11.42578125" style="5"/>
    <col min="7442" max="7442" width="13.85546875" style="5" bestFit="1" customWidth="1"/>
    <col min="7443" max="7443" width="12.140625" style="5" bestFit="1" customWidth="1"/>
    <col min="7444" max="7446" width="11.42578125" style="5"/>
    <col min="7447" max="7447" width="9.42578125" style="5" customWidth="1"/>
    <col min="7448" max="7448" width="12.7109375" style="5" bestFit="1" customWidth="1"/>
    <col min="7449" max="7449" width="14.28515625" style="5" bestFit="1" customWidth="1"/>
    <col min="7450" max="7680" width="11.42578125" style="5"/>
    <col min="7681" max="7681" width="26.140625" style="5" customWidth="1"/>
    <col min="7682" max="7682" width="25.85546875" style="5" customWidth="1"/>
    <col min="7683" max="7683" width="21.85546875" style="5" customWidth="1"/>
    <col min="7684" max="7684" width="22.7109375" style="5" customWidth="1"/>
    <col min="7685" max="7685" width="19.85546875" style="5" customWidth="1"/>
    <col min="7686" max="7686" width="20.28515625" style="5" customWidth="1"/>
    <col min="7687" max="7687" width="4.5703125" style="5" customWidth="1"/>
    <col min="7688" max="7688" width="14.5703125" style="5" customWidth="1"/>
    <col min="7689" max="7689" width="20.5703125" style="5" customWidth="1"/>
    <col min="7690" max="7690" width="15" style="5" bestFit="1" customWidth="1"/>
    <col min="7691" max="7691" width="11.42578125" style="5"/>
    <col min="7692" max="7692" width="13" style="5" customWidth="1"/>
    <col min="7693" max="7693" width="14.5703125" style="5" bestFit="1" customWidth="1"/>
    <col min="7694" max="7694" width="13.85546875" style="5" bestFit="1" customWidth="1"/>
    <col min="7695" max="7695" width="11.42578125" style="5"/>
    <col min="7696" max="7696" width="13.85546875" style="5" bestFit="1" customWidth="1"/>
    <col min="7697" max="7697" width="11.42578125" style="5"/>
    <col min="7698" max="7698" width="13.85546875" style="5" bestFit="1" customWidth="1"/>
    <col min="7699" max="7699" width="12.140625" style="5" bestFit="1" customWidth="1"/>
    <col min="7700" max="7702" width="11.42578125" style="5"/>
    <col min="7703" max="7703" width="9.42578125" style="5" customWidth="1"/>
    <col min="7704" max="7704" width="12.7109375" style="5" bestFit="1" customWidth="1"/>
    <col min="7705" max="7705" width="14.28515625" style="5" bestFit="1" customWidth="1"/>
    <col min="7706" max="7936" width="11.42578125" style="5"/>
    <col min="7937" max="7937" width="26.140625" style="5" customWidth="1"/>
    <col min="7938" max="7938" width="25.85546875" style="5" customWidth="1"/>
    <col min="7939" max="7939" width="21.85546875" style="5" customWidth="1"/>
    <col min="7940" max="7940" width="22.7109375" style="5" customWidth="1"/>
    <col min="7941" max="7941" width="19.85546875" style="5" customWidth="1"/>
    <col min="7942" max="7942" width="20.28515625" style="5" customWidth="1"/>
    <col min="7943" max="7943" width="4.5703125" style="5" customWidth="1"/>
    <col min="7944" max="7944" width="14.5703125" style="5" customWidth="1"/>
    <col min="7945" max="7945" width="20.5703125" style="5" customWidth="1"/>
    <col min="7946" max="7946" width="15" style="5" bestFit="1" customWidth="1"/>
    <col min="7947" max="7947" width="11.42578125" style="5"/>
    <col min="7948" max="7948" width="13" style="5" customWidth="1"/>
    <col min="7949" max="7949" width="14.5703125" style="5" bestFit="1" customWidth="1"/>
    <col min="7950" max="7950" width="13.85546875" style="5" bestFit="1" customWidth="1"/>
    <col min="7951" max="7951" width="11.42578125" style="5"/>
    <col min="7952" max="7952" width="13.85546875" style="5" bestFit="1" customWidth="1"/>
    <col min="7953" max="7953" width="11.42578125" style="5"/>
    <col min="7954" max="7954" width="13.85546875" style="5" bestFit="1" customWidth="1"/>
    <col min="7955" max="7955" width="12.140625" style="5" bestFit="1" customWidth="1"/>
    <col min="7956" max="7958" width="11.42578125" style="5"/>
    <col min="7959" max="7959" width="9.42578125" style="5" customWidth="1"/>
    <col min="7960" max="7960" width="12.7109375" style="5" bestFit="1" customWidth="1"/>
    <col min="7961" max="7961" width="14.28515625" style="5" bestFit="1" customWidth="1"/>
    <col min="7962" max="8192" width="11.42578125" style="5"/>
    <col min="8193" max="8193" width="26.140625" style="5" customWidth="1"/>
    <col min="8194" max="8194" width="25.85546875" style="5" customWidth="1"/>
    <col min="8195" max="8195" width="21.85546875" style="5" customWidth="1"/>
    <col min="8196" max="8196" width="22.7109375" style="5" customWidth="1"/>
    <col min="8197" max="8197" width="19.85546875" style="5" customWidth="1"/>
    <col min="8198" max="8198" width="20.28515625" style="5" customWidth="1"/>
    <col min="8199" max="8199" width="4.5703125" style="5" customWidth="1"/>
    <col min="8200" max="8200" width="14.5703125" style="5" customWidth="1"/>
    <col min="8201" max="8201" width="20.5703125" style="5" customWidth="1"/>
    <col min="8202" max="8202" width="15" style="5" bestFit="1" customWidth="1"/>
    <col min="8203" max="8203" width="11.42578125" style="5"/>
    <col min="8204" max="8204" width="13" style="5" customWidth="1"/>
    <col min="8205" max="8205" width="14.5703125" style="5" bestFit="1" customWidth="1"/>
    <col min="8206" max="8206" width="13.85546875" style="5" bestFit="1" customWidth="1"/>
    <col min="8207" max="8207" width="11.42578125" style="5"/>
    <col min="8208" max="8208" width="13.85546875" style="5" bestFit="1" customWidth="1"/>
    <col min="8209" max="8209" width="11.42578125" style="5"/>
    <col min="8210" max="8210" width="13.85546875" style="5" bestFit="1" customWidth="1"/>
    <col min="8211" max="8211" width="12.140625" style="5" bestFit="1" customWidth="1"/>
    <col min="8212" max="8214" width="11.42578125" style="5"/>
    <col min="8215" max="8215" width="9.42578125" style="5" customWidth="1"/>
    <col min="8216" max="8216" width="12.7109375" style="5" bestFit="1" customWidth="1"/>
    <col min="8217" max="8217" width="14.28515625" style="5" bestFit="1" customWidth="1"/>
    <col min="8218" max="8448" width="11.42578125" style="5"/>
    <col min="8449" max="8449" width="26.140625" style="5" customWidth="1"/>
    <col min="8450" max="8450" width="25.85546875" style="5" customWidth="1"/>
    <col min="8451" max="8451" width="21.85546875" style="5" customWidth="1"/>
    <col min="8452" max="8452" width="22.7109375" style="5" customWidth="1"/>
    <col min="8453" max="8453" width="19.85546875" style="5" customWidth="1"/>
    <col min="8454" max="8454" width="20.28515625" style="5" customWidth="1"/>
    <col min="8455" max="8455" width="4.5703125" style="5" customWidth="1"/>
    <col min="8456" max="8456" width="14.5703125" style="5" customWidth="1"/>
    <col min="8457" max="8457" width="20.5703125" style="5" customWidth="1"/>
    <col min="8458" max="8458" width="15" style="5" bestFit="1" customWidth="1"/>
    <col min="8459" max="8459" width="11.42578125" style="5"/>
    <col min="8460" max="8460" width="13" style="5" customWidth="1"/>
    <col min="8461" max="8461" width="14.5703125" style="5" bestFit="1" customWidth="1"/>
    <col min="8462" max="8462" width="13.85546875" style="5" bestFit="1" customWidth="1"/>
    <col min="8463" max="8463" width="11.42578125" style="5"/>
    <col min="8464" max="8464" width="13.85546875" style="5" bestFit="1" customWidth="1"/>
    <col min="8465" max="8465" width="11.42578125" style="5"/>
    <col min="8466" max="8466" width="13.85546875" style="5" bestFit="1" customWidth="1"/>
    <col min="8467" max="8467" width="12.140625" style="5" bestFit="1" customWidth="1"/>
    <col min="8468" max="8470" width="11.42578125" style="5"/>
    <col min="8471" max="8471" width="9.42578125" style="5" customWidth="1"/>
    <col min="8472" max="8472" width="12.7109375" style="5" bestFit="1" customWidth="1"/>
    <col min="8473" max="8473" width="14.28515625" style="5" bestFit="1" customWidth="1"/>
    <col min="8474" max="8704" width="11.42578125" style="5"/>
    <col min="8705" max="8705" width="26.140625" style="5" customWidth="1"/>
    <col min="8706" max="8706" width="25.85546875" style="5" customWidth="1"/>
    <col min="8707" max="8707" width="21.85546875" style="5" customWidth="1"/>
    <col min="8708" max="8708" width="22.7109375" style="5" customWidth="1"/>
    <col min="8709" max="8709" width="19.85546875" style="5" customWidth="1"/>
    <col min="8710" max="8710" width="20.28515625" style="5" customWidth="1"/>
    <col min="8711" max="8711" width="4.5703125" style="5" customWidth="1"/>
    <col min="8712" max="8712" width="14.5703125" style="5" customWidth="1"/>
    <col min="8713" max="8713" width="20.5703125" style="5" customWidth="1"/>
    <col min="8714" max="8714" width="15" style="5" bestFit="1" customWidth="1"/>
    <col min="8715" max="8715" width="11.42578125" style="5"/>
    <col min="8716" max="8716" width="13" style="5" customWidth="1"/>
    <col min="8717" max="8717" width="14.5703125" style="5" bestFit="1" customWidth="1"/>
    <col min="8718" max="8718" width="13.85546875" style="5" bestFit="1" customWidth="1"/>
    <col min="8719" max="8719" width="11.42578125" style="5"/>
    <col min="8720" max="8720" width="13.85546875" style="5" bestFit="1" customWidth="1"/>
    <col min="8721" max="8721" width="11.42578125" style="5"/>
    <col min="8722" max="8722" width="13.85546875" style="5" bestFit="1" customWidth="1"/>
    <col min="8723" max="8723" width="12.140625" style="5" bestFit="1" customWidth="1"/>
    <col min="8724" max="8726" width="11.42578125" style="5"/>
    <col min="8727" max="8727" width="9.42578125" style="5" customWidth="1"/>
    <col min="8728" max="8728" width="12.7109375" style="5" bestFit="1" customWidth="1"/>
    <col min="8729" max="8729" width="14.28515625" style="5" bestFit="1" customWidth="1"/>
    <col min="8730" max="8960" width="11.42578125" style="5"/>
    <col min="8961" max="8961" width="26.140625" style="5" customWidth="1"/>
    <col min="8962" max="8962" width="25.85546875" style="5" customWidth="1"/>
    <col min="8963" max="8963" width="21.85546875" style="5" customWidth="1"/>
    <col min="8964" max="8964" width="22.7109375" style="5" customWidth="1"/>
    <col min="8965" max="8965" width="19.85546875" style="5" customWidth="1"/>
    <col min="8966" max="8966" width="20.28515625" style="5" customWidth="1"/>
    <col min="8967" max="8967" width="4.5703125" style="5" customWidth="1"/>
    <col min="8968" max="8968" width="14.5703125" style="5" customWidth="1"/>
    <col min="8969" max="8969" width="20.5703125" style="5" customWidth="1"/>
    <col min="8970" max="8970" width="15" style="5" bestFit="1" customWidth="1"/>
    <col min="8971" max="8971" width="11.42578125" style="5"/>
    <col min="8972" max="8972" width="13" style="5" customWidth="1"/>
    <col min="8973" max="8973" width="14.5703125" style="5" bestFit="1" customWidth="1"/>
    <col min="8974" max="8974" width="13.85546875" style="5" bestFit="1" customWidth="1"/>
    <col min="8975" max="8975" width="11.42578125" style="5"/>
    <col min="8976" max="8976" width="13.85546875" style="5" bestFit="1" customWidth="1"/>
    <col min="8977" max="8977" width="11.42578125" style="5"/>
    <col min="8978" max="8978" width="13.85546875" style="5" bestFit="1" customWidth="1"/>
    <col min="8979" max="8979" width="12.140625" style="5" bestFit="1" customWidth="1"/>
    <col min="8980" max="8982" width="11.42578125" style="5"/>
    <col min="8983" max="8983" width="9.42578125" style="5" customWidth="1"/>
    <col min="8984" max="8984" width="12.7109375" style="5" bestFit="1" customWidth="1"/>
    <col min="8985" max="8985" width="14.28515625" style="5" bestFit="1" customWidth="1"/>
    <col min="8986" max="9216" width="11.42578125" style="5"/>
    <col min="9217" max="9217" width="26.140625" style="5" customWidth="1"/>
    <col min="9218" max="9218" width="25.85546875" style="5" customWidth="1"/>
    <col min="9219" max="9219" width="21.85546875" style="5" customWidth="1"/>
    <col min="9220" max="9220" width="22.7109375" style="5" customWidth="1"/>
    <col min="9221" max="9221" width="19.85546875" style="5" customWidth="1"/>
    <col min="9222" max="9222" width="20.28515625" style="5" customWidth="1"/>
    <col min="9223" max="9223" width="4.5703125" style="5" customWidth="1"/>
    <col min="9224" max="9224" width="14.5703125" style="5" customWidth="1"/>
    <col min="9225" max="9225" width="20.5703125" style="5" customWidth="1"/>
    <col min="9226" max="9226" width="15" style="5" bestFit="1" customWidth="1"/>
    <col min="9227" max="9227" width="11.42578125" style="5"/>
    <col min="9228" max="9228" width="13" style="5" customWidth="1"/>
    <col min="9229" max="9229" width="14.5703125" style="5" bestFit="1" customWidth="1"/>
    <col min="9230" max="9230" width="13.85546875" style="5" bestFit="1" customWidth="1"/>
    <col min="9231" max="9231" width="11.42578125" style="5"/>
    <col min="9232" max="9232" width="13.85546875" style="5" bestFit="1" customWidth="1"/>
    <col min="9233" max="9233" width="11.42578125" style="5"/>
    <col min="9234" max="9234" width="13.85546875" style="5" bestFit="1" customWidth="1"/>
    <col min="9235" max="9235" width="12.140625" style="5" bestFit="1" customWidth="1"/>
    <col min="9236" max="9238" width="11.42578125" style="5"/>
    <col min="9239" max="9239" width="9.42578125" style="5" customWidth="1"/>
    <col min="9240" max="9240" width="12.7109375" style="5" bestFit="1" customWidth="1"/>
    <col min="9241" max="9241" width="14.28515625" style="5" bestFit="1" customWidth="1"/>
    <col min="9242" max="9472" width="11.42578125" style="5"/>
    <col min="9473" max="9473" width="26.140625" style="5" customWidth="1"/>
    <col min="9474" max="9474" width="25.85546875" style="5" customWidth="1"/>
    <col min="9475" max="9475" width="21.85546875" style="5" customWidth="1"/>
    <col min="9476" max="9476" width="22.7109375" style="5" customWidth="1"/>
    <col min="9477" max="9477" width="19.85546875" style="5" customWidth="1"/>
    <col min="9478" max="9478" width="20.28515625" style="5" customWidth="1"/>
    <col min="9479" max="9479" width="4.5703125" style="5" customWidth="1"/>
    <col min="9480" max="9480" width="14.5703125" style="5" customWidth="1"/>
    <col min="9481" max="9481" width="20.5703125" style="5" customWidth="1"/>
    <col min="9482" max="9482" width="15" style="5" bestFit="1" customWidth="1"/>
    <col min="9483" max="9483" width="11.42578125" style="5"/>
    <col min="9484" max="9484" width="13" style="5" customWidth="1"/>
    <col min="9485" max="9485" width="14.5703125" style="5" bestFit="1" customWidth="1"/>
    <col min="9486" max="9486" width="13.85546875" style="5" bestFit="1" customWidth="1"/>
    <col min="9487" max="9487" width="11.42578125" style="5"/>
    <col min="9488" max="9488" width="13.85546875" style="5" bestFit="1" customWidth="1"/>
    <col min="9489" max="9489" width="11.42578125" style="5"/>
    <col min="9490" max="9490" width="13.85546875" style="5" bestFit="1" customWidth="1"/>
    <col min="9491" max="9491" width="12.140625" style="5" bestFit="1" customWidth="1"/>
    <col min="9492" max="9494" width="11.42578125" style="5"/>
    <col min="9495" max="9495" width="9.42578125" style="5" customWidth="1"/>
    <col min="9496" max="9496" width="12.7109375" style="5" bestFit="1" customWidth="1"/>
    <col min="9497" max="9497" width="14.28515625" style="5" bestFit="1" customWidth="1"/>
    <col min="9498" max="9728" width="11.42578125" style="5"/>
    <col min="9729" max="9729" width="26.140625" style="5" customWidth="1"/>
    <col min="9730" max="9730" width="25.85546875" style="5" customWidth="1"/>
    <col min="9731" max="9731" width="21.85546875" style="5" customWidth="1"/>
    <col min="9732" max="9732" width="22.7109375" style="5" customWidth="1"/>
    <col min="9733" max="9733" width="19.85546875" style="5" customWidth="1"/>
    <col min="9734" max="9734" width="20.28515625" style="5" customWidth="1"/>
    <col min="9735" max="9735" width="4.5703125" style="5" customWidth="1"/>
    <col min="9736" max="9736" width="14.5703125" style="5" customWidth="1"/>
    <col min="9737" max="9737" width="20.5703125" style="5" customWidth="1"/>
    <col min="9738" max="9738" width="15" style="5" bestFit="1" customWidth="1"/>
    <col min="9739" max="9739" width="11.42578125" style="5"/>
    <col min="9740" max="9740" width="13" style="5" customWidth="1"/>
    <col min="9741" max="9741" width="14.5703125" style="5" bestFit="1" customWidth="1"/>
    <col min="9742" max="9742" width="13.85546875" style="5" bestFit="1" customWidth="1"/>
    <col min="9743" max="9743" width="11.42578125" style="5"/>
    <col min="9744" max="9744" width="13.85546875" style="5" bestFit="1" customWidth="1"/>
    <col min="9745" max="9745" width="11.42578125" style="5"/>
    <col min="9746" max="9746" width="13.85546875" style="5" bestFit="1" customWidth="1"/>
    <col min="9747" max="9747" width="12.140625" style="5" bestFit="1" customWidth="1"/>
    <col min="9748" max="9750" width="11.42578125" style="5"/>
    <col min="9751" max="9751" width="9.42578125" style="5" customWidth="1"/>
    <col min="9752" max="9752" width="12.7109375" style="5" bestFit="1" customWidth="1"/>
    <col min="9753" max="9753" width="14.28515625" style="5" bestFit="1" customWidth="1"/>
    <col min="9754" max="9984" width="11.42578125" style="5"/>
    <col min="9985" max="9985" width="26.140625" style="5" customWidth="1"/>
    <col min="9986" max="9986" width="25.85546875" style="5" customWidth="1"/>
    <col min="9987" max="9987" width="21.85546875" style="5" customWidth="1"/>
    <col min="9988" max="9988" width="22.7109375" style="5" customWidth="1"/>
    <col min="9989" max="9989" width="19.85546875" style="5" customWidth="1"/>
    <col min="9990" max="9990" width="20.28515625" style="5" customWidth="1"/>
    <col min="9991" max="9991" width="4.5703125" style="5" customWidth="1"/>
    <col min="9992" max="9992" width="14.5703125" style="5" customWidth="1"/>
    <col min="9993" max="9993" width="20.5703125" style="5" customWidth="1"/>
    <col min="9994" max="9994" width="15" style="5" bestFit="1" customWidth="1"/>
    <col min="9995" max="9995" width="11.42578125" style="5"/>
    <col min="9996" max="9996" width="13" style="5" customWidth="1"/>
    <col min="9997" max="9997" width="14.5703125" style="5" bestFit="1" customWidth="1"/>
    <col min="9998" max="9998" width="13.85546875" style="5" bestFit="1" customWidth="1"/>
    <col min="9999" max="9999" width="11.42578125" style="5"/>
    <col min="10000" max="10000" width="13.85546875" style="5" bestFit="1" customWidth="1"/>
    <col min="10001" max="10001" width="11.42578125" style="5"/>
    <col min="10002" max="10002" width="13.85546875" style="5" bestFit="1" customWidth="1"/>
    <col min="10003" max="10003" width="12.140625" style="5" bestFit="1" customWidth="1"/>
    <col min="10004" max="10006" width="11.42578125" style="5"/>
    <col min="10007" max="10007" width="9.42578125" style="5" customWidth="1"/>
    <col min="10008" max="10008" width="12.7109375" style="5" bestFit="1" customWidth="1"/>
    <col min="10009" max="10009" width="14.28515625" style="5" bestFit="1" customWidth="1"/>
    <col min="10010" max="10240" width="11.42578125" style="5"/>
    <col min="10241" max="10241" width="26.140625" style="5" customWidth="1"/>
    <col min="10242" max="10242" width="25.85546875" style="5" customWidth="1"/>
    <col min="10243" max="10243" width="21.85546875" style="5" customWidth="1"/>
    <col min="10244" max="10244" width="22.7109375" style="5" customWidth="1"/>
    <col min="10245" max="10245" width="19.85546875" style="5" customWidth="1"/>
    <col min="10246" max="10246" width="20.28515625" style="5" customWidth="1"/>
    <col min="10247" max="10247" width="4.5703125" style="5" customWidth="1"/>
    <col min="10248" max="10248" width="14.5703125" style="5" customWidth="1"/>
    <col min="10249" max="10249" width="20.5703125" style="5" customWidth="1"/>
    <col min="10250" max="10250" width="15" style="5" bestFit="1" customWidth="1"/>
    <col min="10251" max="10251" width="11.42578125" style="5"/>
    <col min="10252" max="10252" width="13" style="5" customWidth="1"/>
    <col min="10253" max="10253" width="14.5703125" style="5" bestFit="1" customWidth="1"/>
    <col min="10254" max="10254" width="13.85546875" style="5" bestFit="1" customWidth="1"/>
    <col min="10255" max="10255" width="11.42578125" style="5"/>
    <col min="10256" max="10256" width="13.85546875" style="5" bestFit="1" customWidth="1"/>
    <col min="10257" max="10257" width="11.42578125" style="5"/>
    <col min="10258" max="10258" width="13.85546875" style="5" bestFit="1" customWidth="1"/>
    <col min="10259" max="10259" width="12.140625" style="5" bestFit="1" customWidth="1"/>
    <col min="10260" max="10262" width="11.42578125" style="5"/>
    <col min="10263" max="10263" width="9.42578125" style="5" customWidth="1"/>
    <col min="10264" max="10264" width="12.7109375" style="5" bestFit="1" customWidth="1"/>
    <col min="10265" max="10265" width="14.28515625" style="5" bestFit="1" customWidth="1"/>
    <col min="10266" max="10496" width="11.42578125" style="5"/>
    <col min="10497" max="10497" width="26.140625" style="5" customWidth="1"/>
    <col min="10498" max="10498" width="25.85546875" style="5" customWidth="1"/>
    <col min="10499" max="10499" width="21.85546875" style="5" customWidth="1"/>
    <col min="10500" max="10500" width="22.7109375" style="5" customWidth="1"/>
    <col min="10501" max="10501" width="19.85546875" style="5" customWidth="1"/>
    <col min="10502" max="10502" width="20.28515625" style="5" customWidth="1"/>
    <col min="10503" max="10503" width="4.5703125" style="5" customWidth="1"/>
    <col min="10504" max="10504" width="14.5703125" style="5" customWidth="1"/>
    <col min="10505" max="10505" width="20.5703125" style="5" customWidth="1"/>
    <col min="10506" max="10506" width="15" style="5" bestFit="1" customWidth="1"/>
    <col min="10507" max="10507" width="11.42578125" style="5"/>
    <col min="10508" max="10508" width="13" style="5" customWidth="1"/>
    <col min="10509" max="10509" width="14.5703125" style="5" bestFit="1" customWidth="1"/>
    <col min="10510" max="10510" width="13.85546875" style="5" bestFit="1" customWidth="1"/>
    <col min="10511" max="10511" width="11.42578125" style="5"/>
    <col min="10512" max="10512" width="13.85546875" style="5" bestFit="1" customWidth="1"/>
    <col min="10513" max="10513" width="11.42578125" style="5"/>
    <col min="10514" max="10514" width="13.85546875" style="5" bestFit="1" customWidth="1"/>
    <col min="10515" max="10515" width="12.140625" style="5" bestFit="1" customWidth="1"/>
    <col min="10516" max="10518" width="11.42578125" style="5"/>
    <col min="10519" max="10519" width="9.42578125" style="5" customWidth="1"/>
    <col min="10520" max="10520" width="12.7109375" style="5" bestFit="1" customWidth="1"/>
    <col min="10521" max="10521" width="14.28515625" style="5" bestFit="1" customWidth="1"/>
    <col min="10522" max="10752" width="11.42578125" style="5"/>
    <col min="10753" max="10753" width="26.140625" style="5" customWidth="1"/>
    <col min="10754" max="10754" width="25.85546875" style="5" customWidth="1"/>
    <col min="10755" max="10755" width="21.85546875" style="5" customWidth="1"/>
    <col min="10756" max="10756" width="22.7109375" style="5" customWidth="1"/>
    <col min="10757" max="10757" width="19.85546875" style="5" customWidth="1"/>
    <col min="10758" max="10758" width="20.28515625" style="5" customWidth="1"/>
    <col min="10759" max="10759" width="4.5703125" style="5" customWidth="1"/>
    <col min="10760" max="10760" width="14.5703125" style="5" customWidth="1"/>
    <col min="10761" max="10761" width="20.5703125" style="5" customWidth="1"/>
    <col min="10762" max="10762" width="15" style="5" bestFit="1" customWidth="1"/>
    <col min="10763" max="10763" width="11.42578125" style="5"/>
    <col min="10764" max="10764" width="13" style="5" customWidth="1"/>
    <col min="10765" max="10765" width="14.5703125" style="5" bestFit="1" customWidth="1"/>
    <col min="10766" max="10766" width="13.85546875" style="5" bestFit="1" customWidth="1"/>
    <col min="10767" max="10767" width="11.42578125" style="5"/>
    <col min="10768" max="10768" width="13.85546875" style="5" bestFit="1" customWidth="1"/>
    <col min="10769" max="10769" width="11.42578125" style="5"/>
    <col min="10770" max="10770" width="13.85546875" style="5" bestFit="1" customWidth="1"/>
    <col min="10771" max="10771" width="12.140625" style="5" bestFit="1" customWidth="1"/>
    <col min="10772" max="10774" width="11.42578125" style="5"/>
    <col min="10775" max="10775" width="9.42578125" style="5" customWidth="1"/>
    <col min="10776" max="10776" width="12.7109375" style="5" bestFit="1" customWidth="1"/>
    <col min="10777" max="10777" width="14.28515625" style="5" bestFit="1" customWidth="1"/>
    <col min="10778" max="11008" width="11.42578125" style="5"/>
    <col min="11009" max="11009" width="26.140625" style="5" customWidth="1"/>
    <col min="11010" max="11010" width="25.85546875" style="5" customWidth="1"/>
    <col min="11011" max="11011" width="21.85546875" style="5" customWidth="1"/>
    <col min="11012" max="11012" width="22.7109375" style="5" customWidth="1"/>
    <col min="11013" max="11013" width="19.85546875" style="5" customWidth="1"/>
    <col min="11014" max="11014" width="20.28515625" style="5" customWidth="1"/>
    <col min="11015" max="11015" width="4.5703125" style="5" customWidth="1"/>
    <col min="11016" max="11016" width="14.5703125" style="5" customWidth="1"/>
    <col min="11017" max="11017" width="20.5703125" style="5" customWidth="1"/>
    <col min="11018" max="11018" width="15" style="5" bestFit="1" customWidth="1"/>
    <col min="11019" max="11019" width="11.42578125" style="5"/>
    <col min="11020" max="11020" width="13" style="5" customWidth="1"/>
    <col min="11021" max="11021" width="14.5703125" style="5" bestFit="1" customWidth="1"/>
    <col min="11022" max="11022" width="13.85546875" style="5" bestFit="1" customWidth="1"/>
    <col min="11023" max="11023" width="11.42578125" style="5"/>
    <col min="11024" max="11024" width="13.85546875" style="5" bestFit="1" customWidth="1"/>
    <col min="11025" max="11025" width="11.42578125" style="5"/>
    <col min="11026" max="11026" width="13.85546875" style="5" bestFit="1" customWidth="1"/>
    <col min="11027" max="11027" width="12.140625" style="5" bestFit="1" customWidth="1"/>
    <col min="11028" max="11030" width="11.42578125" style="5"/>
    <col min="11031" max="11031" width="9.42578125" style="5" customWidth="1"/>
    <col min="11032" max="11032" width="12.7109375" style="5" bestFit="1" customWidth="1"/>
    <col min="11033" max="11033" width="14.28515625" style="5" bestFit="1" customWidth="1"/>
    <col min="11034" max="11264" width="11.42578125" style="5"/>
    <col min="11265" max="11265" width="26.140625" style="5" customWidth="1"/>
    <col min="11266" max="11266" width="25.85546875" style="5" customWidth="1"/>
    <col min="11267" max="11267" width="21.85546875" style="5" customWidth="1"/>
    <col min="11268" max="11268" width="22.7109375" style="5" customWidth="1"/>
    <col min="11269" max="11269" width="19.85546875" style="5" customWidth="1"/>
    <col min="11270" max="11270" width="20.28515625" style="5" customWidth="1"/>
    <col min="11271" max="11271" width="4.5703125" style="5" customWidth="1"/>
    <col min="11272" max="11272" width="14.5703125" style="5" customWidth="1"/>
    <col min="11273" max="11273" width="20.5703125" style="5" customWidth="1"/>
    <col min="11274" max="11274" width="15" style="5" bestFit="1" customWidth="1"/>
    <col min="11275" max="11275" width="11.42578125" style="5"/>
    <col min="11276" max="11276" width="13" style="5" customWidth="1"/>
    <col min="11277" max="11277" width="14.5703125" style="5" bestFit="1" customWidth="1"/>
    <col min="11278" max="11278" width="13.85546875" style="5" bestFit="1" customWidth="1"/>
    <col min="11279" max="11279" width="11.42578125" style="5"/>
    <col min="11280" max="11280" width="13.85546875" style="5" bestFit="1" customWidth="1"/>
    <col min="11281" max="11281" width="11.42578125" style="5"/>
    <col min="11282" max="11282" width="13.85546875" style="5" bestFit="1" customWidth="1"/>
    <col min="11283" max="11283" width="12.140625" style="5" bestFit="1" customWidth="1"/>
    <col min="11284" max="11286" width="11.42578125" style="5"/>
    <col min="11287" max="11287" width="9.42578125" style="5" customWidth="1"/>
    <col min="11288" max="11288" width="12.7109375" style="5" bestFit="1" customWidth="1"/>
    <col min="11289" max="11289" width="14.28515625" style="5" bestFit="1" customWidth="1"/>
    <col min="11290" max="11520" width="11.42578125" style="5"/>
    <col min="11521" max="11521" width="26.140625" style="5" customWidth="1"/>
    <col min="11522" max="11522" width="25.85546875" style="5" customWidth="1"/>
    <col min="11523" max="11523" width="21.85546875" style="5" customWidth="1"/>
    <col min="11524" max="11524" width="22.7109375" style="5" customWidth="1"/>
    <col min="11525" max="11525" width="19.85546875" style="5" customWidth="1"/>
    <col min="11526" max="11526" width="20.28515625" style="5" customWidth="1"/>
    <col min="11527" max="11527" width="4.5703125" style="5" customWidth="1"/>
    <col min="11528" max="11528" width="14.5703125" style="5" customWidth="1"/>
    <col min="11529" max="11529" width="20.5703125" style="5" customWidth="1"/>
    <col min="11530" max="11530" width="15" style="5" bestFit="1" customWidth="1"/>
    <col min="11531" max="11531" width="11.42578125" style="5"/>
    <col min="11532" max="11532" width="13" style="5" customWidth="1"/>
    <col min="11533" max="11533" width="14.5703125" style="5" bestFit="1" customWidth="1"/>
    <col min="11534" max="11534" width="13.85546875" style="5" bestFit="1" customWidth="1"/>
    <col min="11535" max="11535" width="11.42578125" style="5"/>
    <col min="11536" max="11536" width="13.85546875" style="5" bestFit="1" customWidth="1"/>
    <col min="11537" max="11537" width="11.42578125" style="5"/>
    <col min="11538" max="11538" width="13.85546875" style="5" bestFit="1" customWidth="1"/>
    <col min="11539" max="11539" width="12.140625" style="5" bestFit="1" customWidth="1"/>
    <col min="11540" max="11542" width="11.42578125" style="5"/>
    <col min="11543" max="11543" width="9.42578125" style="5" customWidth="1"/>
    <col min="11544" max="11544" width="12.7109375" style="5" bestFit="1" customWidth="1"/>
    <col min="11545" max="11545" width="14.28515625" style="5" bestFit="1" customWidth="1"/>
    <col min="11546" max="11776" width="11.42578125" style="5"/>
    <col min="11777" max="11777" width="26.140625" style="5" customWidth="1"/>
    <col min="11778" max="11778" width="25.85546875" style="5" customWidth="1"/>
    <col min="11779" max="11779" width="21.85546875" style="5" customWidth="1"/>
    <col min="11780" max="11780" width="22.7109375" style="5" customWidth="1"/>
    <col min="11781" max="11781" width="19.85546875" style="5" customWidth="1"/>
    <col min="11782" max="11782" width="20.28515625" style="5" customWidth="1"/>
    <col min="11783" max="11783" width="4.5703125" style="5" customWidth="1"/>
    <col min="11784" max="11784" width="14.5703125" style="5" customWidth="1"/>
    <col min="11785" max="11785" width="20.5703125" style="5" customWidth="1"/>
    <col min="11786" max="11786" width="15" style="5" bestFit="1" customWidth="1"/>
    <col min="11787" max="11787" width="11.42578125" style="5"/>
    <col min="11788" max="11788" width="13" style="5" customWidth="1"/>
    <col min="11789" max="11789" width="14.5703125" style="5" bestFit="1" customWidth="1"/>
    <col min="11790" max="11790" width="13.85546875" style="5" bestFit="1" customWidth="1"/>
    <col min="11791" max="11791" width="11.42578125" style="5"/>
    <col min="11792" max="11792" width="13.85546875" style="5" bestFit="1" customWidth="1"/>
    <col min="11793" max="11793" width="11.42578125" style="5"/>
    <col min="11794" max="11794" width="13.85546875" style="5" bestFit="1" customWidth="1"/>
    <col min="11795" max="11795" width="12.140625" style="5" bestFit="1" customWidth="1"/>
    <col min="11796" max="11798" width="11.42578125" style="5"/>
    <col min="11799" max="11799" width="9.42578125" style="5" customWidth="1"/>
    <col min="11800" max="11800" width="12.7109375" style="5" bestFit="1" customWidth="1"/>
    <col min="11801" max="11801" width="14.28515625" style="5" bestFit="1" customWidth="1"/>
    <col min="11802" max="12032" width="11.42578125" style="5"/>
    <col min="12033" max="12033" width="26.140625" style="5" customWidth="1"/>
    <col min="12034" max="12034" width="25.85546875" style="5" customWidth="1"/>
    <col min="12035" max="12035" width="21.85546875" style="5" customWidth="1"/>
    <col min="12036" max="12036" width="22.7109375" style="5" customWidth="1"/>
    <col min="12037" max="12037" width="19.85546875" style="5" customWidth="1"/>
    <col min="12038" max="12038" width="20.28515625" style="5" customWidth="1"/>
    <col min="12039" max="12039" width="4.5703125" style="5" customWidth="1"/>
    <col min="12040" max="12040" width="14.5703125" style="5" customWidth="1"/>
    <col min="12041" max="12041" width="20.5703125" style="5" customWidth="1"/>
    <col min="12042" max="12042" width="15" style="5" bestFit="1" customWidth="1"/>
    <col min="12043" max="12043" width="11.42578125" style="5"/>
    <col min="12044" max="12044" width="13" style="5" customWidth="1"/>
    <col min="12045" max="12045" width="14.5703125" style="5" bestFit="1" customWidth="1"/>
    <col min="12046" max="12046" width="13.85546875" style="5" bestFit="1" customWidth="1"/>
    <col min="12047" max="12047" width="11.42578125" style="5"/>
    <col min="12048" max="12048" width="13.85546875" style="5" bestFit="1" customWidth="1"/>
    <col min="12049" max="12049" width="11.42578125" style="5"/>
    <col min="12050" max="12050" width="13.85546875" style="5" bestFit="1" customWidth="1"/>
    <col min="12051" max="12051" width="12.140625" style="5" bestFit="1" customWidth="1"/>
    <col min="12052" max="12054" width="11.42578125" style="5"/>
    <col min="12055" max="12055" width="9.42578125" style="5" customWidth="1"/>
    <col min="12056" max="12056" width="12.7109375" style="5" bestFit="1" customWidth="1"/>
    <col min="12057" max="12057" width="14.28515625" style="5" bestFit="1" customWidth="1"/>
    <col min="12058" max="12288" width="11.42578125" style="5"/>
    <col min="12289" max="12289" width="26.140625" style="5" customWidth="1"/>
    <col min="12290" max="12290" width="25.85546875" style="5" customWidth="1"/>
    <col min="12291" max="12291" width="21.85546875" style="5" customWidth="1"/>
    <col min="12292" max="12292" width="22.7109375" style="5" customWidth="1"/>
    <col min="12293" max="12293" width="19.85546875" style="5" customWidth="1"/>
    <col min="12294" max="12294" width="20.28515625" style="5" customWidth="1"/>
    <col min="12295" max="12295" width="4.5703125" style="5" customWidth="1"/>
    <col min="12296" max="12296" width="14.5703125" style="5" customWidth="1"/>
    <col min="12297" max="12297" width="20.5703125" style="5" customWidth="1"/>
    <col min="12298" max="12298" width="15" style="5" bestFit="1" customWidth="1"/>
    <col min="12299" max="12299" width="11.42578125" style="5"/>
    <col min="12300" max="12300" width="13" style="5" customWidth="1"/>
    <col min="12301" max="12301" width="14.5703125" style="5" bestFit="1" customWidth="1"/>
    <col min="12302" max="12302" width="13.85546875" style="5" bestFit="1" customWidth="1"/>
    <col min="12303" max="12303" width="11.42578125" style="5"/>
    <col min="12304" max="12304" width="13.85546875" style="5" bestFit="1" customWidth="1"/>
    <col min="12305" max="12305" width="11.42578125" style="5"/>
    <col min="12306" max="12306" width="13.85546875" style="5" bestFit="1" customWidth="1"/>
    <col min="12307" max="12307" width="12.140625" style="5" bestFit="1" customWidth="1"/>
    <col min="12308" max="12310" width="11.42578125" style="5"/>
    <col min="12311" max="12311" width="9.42578125" style="5" customWidth="1"/>
    <col min="12312" max="12312" width="12.7109375" style="5" bestFit="1" customWidth="1"/>
    <col min="12313" max="12313" width="14.28515625" style="5" bestFit="1" customWidth="1"/>
    <col min="12314" max="12544" width="11.42578125" style="5"/>
    <col min="12545" max="12545" width="26.140625" style="5" customWidth="1"/>
    <col min="12546" max="12546" width="25.85546875" style="5" customWidth="1"/>
    <col min="12547" max="12547" width="21.85546875" style="5" customWidth="1"/>
    <col min="12548" max="12548" width="22.7109375" style="5" customWidth="1"/>
    <col min="12549" max="12549" width="19.85546875" style="5" customWidth="1"/>
    <col min="12550" max="12550" width="20.28515625" style="5" customWidth="1"/>
    <col min="12551" max="12551" width="4.5703125" style="5" customWidth="1"/>
    <col min="12552" max="12552" width="14.5703125" style="5" customWidth="1"/>
    <col min="12553" max="12553" width="20.5703125" style="5" customWidth="1"/>
    <col min="12554" max="12554" width="15" style="5" bestFit="1" customWidth="1"/>
    <col min="12555" max="12555" width="11.42578125" style="5"/>
    <col min="12556" max="12556" width="13" style="5" customWidth="1"/>
    <col min="12557" max="12557" width="14.5703125" style="5" bestFit="1" customWidth="1"/>
    <col min="12558" max="12558" width="13.85546875" style="5" bestFit="1" customWidth="1"/>
    <col min="12559" max="12559" width="11.42578125" style="5"/>
    <col min="12560" max="12560" width="13.85546875" style="5" bestFit="1" customWidth="1"/>
    <col min="12561" max="12561" width="11.42578125" style="5"/>
    <col min="12562" max="12562" width="13.85546875" style="5" bestFit="1" customWidth="1"/>
    <col min="12563" max="12563" width="12.140625" style="5" bestFit="1" customWidth="1"/>
    <col min="12564" max="12566" width="11.42578125" style="5"/>
    <col min="12567" max="12567" width="9.42578125" style="5" customWidth="1"/>
    <col min="12568" max="12568" width="12.7109375" style="5" bestFit="1" customWidth="1"/>
    <col min="12569" max="12569" width="14.28515625" style="5" bestFit="1" customWidth="1"/>
    <col min="12570" max="12800" width="11.42578125" style="5"/>
    <col min="12801" max="12801" width="26.140625" style="5" customWidth="1"/>
    <col min="12802" max="12802" width="25.85546875" style="5" customWidth="1"/>
    <col min="12803" max="12803" width="21.85546875" style="5" customWidth="1"/>
    <col min="12804" max="12804" width="22.7109375" style="5" customWidth="1"/>
    <col min="12805" max="12805" width="19.85546875" style="5" customWidth="1"/>
    <col min="12806" max="12806" width="20.28515625" style="5" customWidth="1"/>
    <col min="12807" max="12807" width="4.5703125" style="5" customWidth="1"/>
    <col min="12808" max="12808" width="14.5703125" style="5" customWidth="1"/>
    <col min="12809" max="12809" width="20.5703125" style="5" customWidth="1"/>
    <col min="12810" max="12810" width="15" style="5" bestFit="1" customWidth="1"/>
    <col min="12811" max="12811" width="11.42578125" style="5"/>
    <col min="12812" max="12812" width="13" style="5" customWidth="1"/>
    <col min="12813" max="12813" width="14.5703125" style="5" bestFit="1" customWidth="1"/>
    <col min="12814" max="12814" width="13.85546875" style="5" bestFit="1" customWidth="1"/>
    <col min="12815" max="12815" width="11.42578125" style="5"/>
    <col min="12816" max="12816" width="13.85546875" style="5" bestFit="1" customWidth="1"/>
    <col min="12817" max="12817" width="11.42578125" style="5"/>
    <col min="12818" max="12818" width="13.85546875" style="5" bestFit="1" customWidth="1"/>
    <col min="12819" max="12819" width="12.140625" style="5" bestFit="1" customWidth="1"/>
    <col min="12820" max="12822" width="11.42578125" style="5"/>
    <col min="12823" max="12823" width="9.42578125" style="5" customWidth="1"/>
    <col min="12824" max="12824" width="12.7109375" style="5" bestFit="1" customWidth="1"/>
    <col min="12825" max="12825" width="14.28515625" style="5" bestFit="1" customWidth="1"/>
    <col min="12826" max="13056" width="11.42578125" style="5"/>
    <col min="13057" max="13057" width="26.140625" style="5" customWidth="1"/>
    <col min="13058" max="13058" width="25.85546875" style="5" customWidth="1"/>
    <col min="13059" max="13059" width="21.85546875" style="5" customWidth="1"/>
    <col min="13060" max="13060" width="22.7109375" style="5" customWidth="1"/>
    <col min="13061" max="13061" width="19.85546875" style="5" customWidth="1"/>
    <col min="13062" max="13062" width="20.28515625" style="5" customWidth="1"/>
    <col min="13063" max="13063" width="4.5703125" style="5" customWidth="1"/>
    <col min="13064" max="13064" width="14.5703125" style="5" customWidth="1"/>
    <col min="13065" max="13065" width="20.5703125" style="5" customWidth="1"/>
    <col min="13066" max="13066" width="15" style="5" bestFit="1" customWidth="1"/>
    <col min="13067" max="13067" width="11.42578125" style="5"/>
    <col min="13068" max="13068" width="13" style="5" customWidth="1"/>
    <col min="13069" max="13069" width="14.5703125" style="5" bestFit="1" customWidth="1"/>
    <col min="13070" max="13070" width="13.85546875" style="5" bestFit="1" customWidth="1"/>
    <col min="13071" max="13071" width="11.42578125" style="5"/>
    <col min="13072" max="13072" width="13.85546875" style="5" bestFit="1" customWidth="1"/>
    <col min="13073" max="13073" width="11.42578125" style="5"/>
    <col min="13074" max="13074" width="13.85546875" style="5" bestFit="1" customWidth="1"/>
    <col min="13075" max="13075" width="12.140625" style="5" bestFit="1" customWidth="1"/>
    <col min="13076" max="13078" width="11.42578125" style="5"/>
    <col min="13079" max="13079" width="9.42578125" style="5" customWidth="1"/>
    <col min="13080" max="13080" width="12.7109375" style="5" bestFit="1" customWidth="1"/>
    <col min="13081" max="13081" width="14.28515625" style="5" bestFit="1" customWidth="1"/>
    <col min="13082" max="13312" width="11.42578125" style="5"/>
    <col min="13313" max="13313" width="26.140625" style="5" customWidth="1"/>
    <col min="13314" max="13314" width="25.85546875" style="5" customWidth="1"/>
    <col min="13315" max="13315" width="21.85546875" style="5" customWidth="1"/>
    <col min="13316" max="13316" width="22.7109375" style="5" customWidth="1"/>
    <col min="13317" max="13317" width="19.85546875" style="5" customWidth="1"/>
    <col min="13318" max="13318" width="20.28515625" style="5" customWidth="1"/>
    <col min="13319" max="13319" width="4.5703125" style="5" customWidth="1"/>
    <col min="13320" max="13320" width="14.5703125" style="5" customWidth="1"/>
    <col min="13321" max="13321" width="20.5703125" style="5" customWidth="1"/>
    <col min="13322" max="13322" width="15" style="5" bestFit="1" customWidth="1"/>
    <col min="13323" max="13323" width="11.42578125" style="5"/>
    <col min="13324" max="13324" width="13" style="5" customWidth="1"/>
    <col min="13325" max="13325" width="14.5703125" style="5" bestFit="1" customWidth="1"/>
    <col min="13326" max="13326" width="13.85546875" style="5" bestFit="1" customWidth="1"/>
    <col min="13327" max="13327" width="11.42578125" style="5"/>
    <col min="13328" max="13328" width="13.85546875" style="5" bestFit="1" customWidth="1"/>
    <col min="13329" max="13329" width="11.42578125" style="5"/>
    <col min="13330" max="13330" width="13.85546875" style="5" bestFit="1" customWidth="1"/>
    <col min="13331" max="13331" width="12.140625" style="5" bestFit="1" customWidth="1"/>
    <col min="13332" max="13334" width="11.42578125" style="5"/>
    <col min="13335" max="13335" width="9.42578125" style="5" customWidth="1"/>
    <col min="13336" max="13336" width="12.7109375" style="5" bestFit="1" customWidth="1"/>
    <col min="13337" max="13337" width="14.28515625" style="5" bestFit="1" customWidth="1"/>
    <col min="13338" max="13568" width="11.42578125" style="5"/>
    <col min="13569" max="13569" width="26.140625" style="5" customWidth="1"/>
    <col min="13570" max="13570" width="25.85546875" style="5" customWidth="1"/>
    <col min="13571" max="13571" width="21.85546875" style="5" customWidth="1"/>
    <col min="13572" max="13572" width="22.7109375" style="5" customWidth="1"/>
    <col min="13573" max="13573" width="19.85546875" style="5" customWidth="1"/>
    <col min="13574" max="13574" width="20.28515625" style="5" customWidth="1"/>
    <col min="13575" max="13575" width="4.5703125" style="5" customWidth="1"/>
    <col min="13576" max="13576" width="14.5703125" style="5" customWidth="1"/>
    <col min="13577" max="13577" width="20.5703125" style="5" customWidth="1"/>
    <col min="13578" max="13578" width="15" style="5" bestFit="1" customWidth="1"/>
    <col min="13579" max="13579" width="11.42578125" style="5"/>
    <col min="13580" max="13580" width="13" style="5" customWidth="1"/>
    <col min="13581" max="13581" width="14.5703125" style="5" bestFit="1" customWidth="1"/>
    <col min="13582" max="13582" width="13.85546875" style="5" bestFit="1" customWidth="1"/>
    <col min="13583" max="13583" width="11.42578125" style="5"/>
    <col min="13584" max="13584" width="13.85546875" style="5" bestFit="1" customWidth="1"/>
    <col min="13585" max="13585" width="11.42578125" style="5"/>
    <col min="13586" max="13586" width="13.85546875" style="5" bestFit="1" customWidth="1"/>
    <col min="13587" max="13587" width="12.140625" style="5" bestFit="1" customWidth="1"/>
    <col min="13588" max="13590" width="11.42578125" style="5"/>
    <col min="13591" max="13591" width="9.42578125" style="5" customWidth="1"/>
    <col min="13592" max="13592" width="12.7109375" style="5" bestFit="1" customWidth="1"/>
    <col min="13593" max="13593" width="14.28515625" style="5" bestFit="1" customWidth="1"/>
    <col min="13594" max="13824" width="11.42578125" style="5"/>
    <col min="13825" max="13825" width="26.140625" style="5" customWidth="1"/>
    <col min="13826" max="13826" width="25.85546875" style="5" customWidth="1"/>
    <col min="13827" max="13827" width="21.85546875" style="5" customWidth="1"/>
    <col min="13828" max="13828" width="22.7109375" style="5" customWidth="1"/>
    <col min="13829" max="13829" width="19.85546875" style="5" customWidth="1"/>
    <col min="13830" max="13830" width="20.28515625" style="5" customWidth="1"/>
    <col min="13831" max="13831" width="4.5703125" style="5" customWidth="1"/>
    <col min="13832" max="13832" width="14.5703125" style="5" customWidth="1"/>
    <col min="13833" max="13833" width="20.5703125" style="5" customWidth="1"/>
    <col min="13834" max="13834" width="15" style="5" bestFit="1" customWidth="1"/>
    <col min="13835" max="13835" width="11.42578125" style="5"/>
    <col min="13836" max="13836" width="13" style="5" customWidth="1"/>
    <col min="13837" max="13837" width="14.5703125" style="5" bestFit="1" customWidth="1"/>
    <col min="13838" max="13838" width="13.85546875" style="5" bestFit="1" customWidth="1"/>
    <col min="13839" max="13839" width="11.42578125" style="5"/>
    <col min="13840" max="13840" width="13.85546875" style="5" bestFit="1" customWidth="1"/>
    <col min="13841" max="13841" width="11.42578125" style="5"/>
    <col min="13842" max="13842" width="13.85546875" style="5" bestFit="1" customWidth="1"/>
    <col min="13843" max="13843" width="12.140625" style="5" bestFit="1" customWidth="1"/>
    <col min="13844" max="13846" width="11.42578125" style="5"/>
    <col min="13847" max="13847" width="9.42578125" style="5" customWidth="1"/>
    <col min="13848" max="13848" width="12.7109375" style="5" bestFit="1" customWidth="1"/>
    <col min="13849" max="13849" width="14.28515625" style="5" bestFit="1" customWidth="1"/>
    <col min="13850" max="14080" width="11.42578125" style="5"/>
    <col min="14081" max="14081" width="26.140625" style="5" customWidth="1"/>
    <col min="14082" max="14082" width="25.85546875" style="5" customWidth="1"/>
    <col min="14083" max="14083" width="21.85546875" style="5" customWidth="1"/>
    <col min="14084" max="14084" width="22.7109375" style="5" customWidth="1"/>
    <col min="14085" max="14085" width="19.85546875" style="5" customWidth="1"/>
    <col min="14086" max="14086" width="20.28515625" style="5" customWidth="1"/>
    <col min="14087" max="14087" width="4.5703125" style="5" customWidth="1"/>
    <col min="14088" max="14088" width="14.5703125" style="5" customWidth="1"/>
    <col min="14089" max="14089" width="20.5703125" style="5" customWidth="1"/>
    <col min="14090" max="14090" width="15" style="5" bestFit="1" customWidth="1"/>
    <col min="14091" max="14091" width="11.42578125" style="5"/>
    <col min="14092" max="14092" width="13" style="5" customWidth="1"/>
    <col min="14093" max="14093" width="14.5703125" style="5" bestFit="1" customWidth="1"/>
    <col min="14094" max="14094" width="13.85546875" style="5" bestFit="1" customWidth="1"/>
    <col min="14095" max="14095" width="11.42578125" style="5"/>
    <col min="14096" max="14096" width="13.85546875" style="5" bestFit="1" customWidth="1"/>
    <col min="14097" max="14097" width="11.42578125" style="5"/>
    <col min="14098" max="14098" width="13.85546875" style="5" bestFit="1" customWidth="1"/>
    <col min="14099" max="14099" width="12.140625" style="5" bestFit="1" customWidth="1"/>
    <col min="14100" max="14102" width="11.42578125" style="5"/>
    <col min="14103" max="14103" width="9.42578125" style="5" customWidth="1"/>
    <col min="14104" max="14104" width="12.7109375" style="5" bestFit="1" customWidth="1"/>
    <col min="14105" max="14105" width="14.28515625" style="5" bestFit="1" customWidth="1"/>
    <col min="14106" max="14336" width="11.42578125" style="5"/>
    <col min="14337" max="14337" width="26.140625" style="5" customWidth="1"/>
    <col min="14338" max="14338" width="25.85546875" style="5" customWidth="1"/>
    <col min="14339" max="14339" width="21.85546875" style="5" customWidth="1"/>
    <col min="14340" max="14340" width="22.7109375" style="5" customWidth="1"/>
    <col min="14341" max="14341" width="19.85546875" style="5" customWidth="1"/>
    <col min="14342" max="14342" width="20.28515625" style="5" customWidth="1"/>
    <col min="14343" max="14343" width="4.5703125" style="5" customWidth="1"/>
    <col min="14344" max="14344" width="14.5703125" style="5" customWidth="1"/>
    <col min="14345" max="14345" width="20.5703125" style="5" customWidth="1"/>
    <col min="14346" max="14346" width="15" style="5" bestFit="1" customWidth="1"/>
    <col min="14347" max="14347" width="11.42578125" style="5"/>
    <col min="14348" max="14348" width="13" style="5" customWidth="1"/>
    <col min="14349" max="14349" width="14.5703125" style="5" bestFit="1" customWidth="1"/>
    <col min="14350" max="14350" width="13.85546875" style="5" bestFit="1" customWidth="1"/>
    <col min="14351" max="14351" width="11.42578125" style="5"/>
    <col min="14352" max="14352" width="13.85546875" style="5" bestFit="1" customWidth="1"/>
    <col min="14353" max="14353" width="11.42578125" style="5"/>
    <col min="14354" max="14354" width="13.85546875" style="5" bestFit="1" customWidth="1"/>
    <col min="14355" max="14355" width="12.140625" style="5" bestFit="1" customWidth="1"/>
    <col min="14356" max="14358" width="11.42578125" style="5"/>
    <col min="14359" max="14359" width="9.42578125" style="5" customWidth="1"/>
    <col min="14360" max="14360" width="12.7109375" style="5" bestFit="1" customWidth="1"/>
    <col min="14361" max="14361" width="14.28515625" style="5" bestFit="1" customWidth="1"/>
    <col min="14362" max="14592" width="11.42578125" style="5"/>
    <col min="14593" max="14593" width="26.140625" style="5" customWidth="1"/>
    <col min="14594" max="14594" width="25.85546875" style="5" customWidth="1"/>
    <col min="14595" max="14595" width="21.85546875" style="5" customWidth="1"/>
    <col min="14596" max="14596" width="22.7109375" style="5" customWidth="1"/>
    <col min="14597" max="14597" width="19.85546875" style="5" customWidth="1"/>
    <col min="14598" max="14598" width="20.28515625" style="5" customWidth="1"/>
    <col min="14599" max="14599" width="4.5703125" style="5" customWidth="1"/>
    <col min="14600" max="14600" width="14.5703125" style="5" customWidth="1"/>
    <col min="14601" max="14601" width="20.5703125" style="5" customWidth="1"/>
    <col min="14602" max="14602" width="15" style="5" bestFit="1" customWidth="1"/>
    <col min="14603" max="14603" width="11.42578125" style="5"/>
    <col min="14604" max="14604" width="13" style="5" customWidth="1"/>
    <col min="14605" max="14605" width="14.5703125" style="5" bestFit="1" customWidth="1"/>
    <col min="14606" max="14606" width="13.85546875" style="5" bestFit="1" customWidth="1"/>
    <col min="14607" max="14607" width="11.42578125" style="5"/>
    <col min="14608" max="14608" width="13.85546875" style="5" bestFit="1" customWidth="1"/>
    <col min="14609" max="14609" width="11.42578125" style="5"/>
    <col min="14610" max="14610" width="13.85546875" style="5" bestFit="1" customWidth="1"/>
    <col min="14611" max="14611" width="12.140625" style="5" bestFit="1" customWidth="1"/>
    <col min="14612" max="14614" width="11.42578125" style="5"/>
    <col min="14615" max="14615" width="9.42578125" style="5" customWidth="1"/>
    <col min="14616" max="14616" width="12.7109375" style="5" bestFit="1" customWidth="1"/>
    <col min="14617" max="14617" width="14.28515625" style="5" bestFit="1" customWidth="1"/>
    <col min="14618" max="14848" width="11.42578125" style="5"/>
    <col min="14849" max="14849" width="26.140625" style="5" customWidth="1"/>
    <col min="14850" max="14850" width="25.85546875" style="5" customWidth="1"/>
    <col min="14851" max="14851" width="21.85546875" style="5" customWidth="1"/>
    <col min="14852" max="14852" width="22.7109375" style="5" customWidth="1"/>
    <col min="14853" max="14853" width="19.85546875" style="5" customWidth="1"/>
    <col min="14854" max="14854" width="20.28515625" style="5" customWidth="1"/>
    <col min="14855" max="14855" width="4.5703125" style="5" customWidth="1"/>
    <col min="14856" max="14856" width="14.5703125" style="5" customWidth="1"/>
    <col min="14857" max="14857" width="20.5703125" style="5" customWidth="1"/>
    <col min="14858" max="14858" width="15" style="5" bestFit="1" customWidth="1"/>
    <col min="14859" max="14859" width="11.42578125" style="5"/>
    <col min="14860" max="14860" width="13" style="5" customWidth="1"/>
    <col min="14861" max="14861" width="14.5703125" style="5" bestFit="1" customWidth="1"/>
    <col min="14862" max="14862" width="13.85546875" style="5" bestFit="1" customWidth="1"/>
    <col min="14863" max="14863" width="11.42578125" style="5"/>
    <col min="14864" max="14864" width="13.85546875" style="5" bestFit="1" customWidth="1"/>
    <col min="14865" max="14865" width="11.42578125" style="5"/>
    <col min="14866" max="14866" width="13.85546875" style="5" bestFit="1" customWidth="1"/>
    <col min="14867" max="14867" width="12.140625" style="5" bestFit="1" customWidth="1"/>
    <col min="14868" max="14870" width="11.42578125" style="5"/>
    <col min="14871" max="14871" width="9.42578125" style="5" customWidth="1"/>
    <col min="14872" max="14872" width="12.7109375" style="5" bestFit="1" customWidth="1"/>
    <col min="14873" max="14873" width="14.28515625" style="5" bestFit="1" customWidth="1"/>
    <col min="14874" max="15104" width="11.42578125" style="5"/>
    <col min="15105" max="15105" width="26.140625" style="5" customWidth="1"/>
    <col min="15106" max="15106" width="25.85546875" style="5" customWidth="1"/>
    <col min="15107" max="15107" width="21.85546875" style="5" customWidth="1"/>
    <col min="15108" max="15108" width="22.7109375" style="5" customWidth="1"/>
    <col min="15109" max="15109" width="19.85546875" style="5" customWidth="1"/>
    <col min="15110" max="15110" width="20.28515625" style="5" customWidth="1"/>
    <col min="15111" max="15111" width="4.5703125" style="5" customWidth="1"/>
    <col min="15112" max="15112" width="14.5703125" style="5" customWidth="1"/>
    <col min="15113" max="15113" width="20.5703125" style="5" customWidth="1"/>
    <col min="15114" max="15114" width="15" style="5" bestFit="1" customWidth="1"/>
    <col min="15115" max="15115" width="11.42578125" style="5"/>
    <col min="15116" max="15116" width="13" style="5" customWidth="1"/>
    <col min="15117" max="15117" width="14.5703125" style="5" bestFit="1" customWidth="1"/>
    <col min="15118" max="15118" width="13.85546875" style="5" bestFit="1" customWidth="1"/>
    <col min="15119" max="15119" width="11.42578125" style="5"/>
    <col min="15120" max="15120" width="13.85546875" style="5" bestFit="1" customWidth="1"/>
    <col min="15121" max="15121" width="11.42578125" style="5"/>
    <col min="15122" max="15122" width="13.85546875" style="5" bestFit="1" customWidth="1"/>
    <col min="15123" max="15123" width="12.140625" style="5" bestFit="1" customWidth="1"/>
    <col min="15124" max="15126" width="11.42578125" style="5"/>
    <col min="15127" max="15127" width="9.42578125" style="5" customWidth="1"/>
    <col min="15128" max="15128" width="12.7109375" style="5" bestFit="1" customWidth="1"/>
    <col min="15129" max="15129" width="14.28515625" style="5" bestFit="1" customWidth="1"/>
    <col min="15130" max="15360" width="11.42578125" style="5"/>
    <col min="15361" max="15361" width="26.140625" style="5" customWidth="1"/>
    <col min="15362" max="15362" width="25.85546875" style="5" customWidth="1"/>
    <col min="15363" max="15363" width="21.85546875" style="5" customWidth="1"/>
    <col min="15364" max="15364" width="22.7109375" style="5" customWidth="1"/>
    <col min="15365" max="15365" width="19.85546875" style="5" customWidth="1"/>
    <col min="15366" max="15366" width="20.28515625" style="5" customWidth="1"/>
    <col min="15367" max="15367" width="4.5703125" style="5" customWidth="1"/>
    <col min="15368" max="15368" width="14.5703125" style="5" customWidth="1"/>
    <col min="15369" max="15369" width="20.5703125" style="5" customWidth="1"/>
    <col min="15370" max="15370" width="15" style="5" bestFit="1" customWidth="1"/>
    <col min="15371" max="15371" width="11.42578125" style="5"/>
    <col min="15372" max="15372" width="13" style="5" customWidth="1"/>
    <col min="15373" max="15373" width="14.5703125" style="5" bestFit="1" customWidth="1"/>
    <col min="15374" max="15374" width="13.85546875" style="5" bestFit="1" customWidth="1"/>
    <col min="15375" max="15375" width="11.42578125" style="5"/>
    <col min="15376" max="15376" width="13.85546875" style="5" bestFit="1" customWidth="1"/>
    <col min="15377" max="15377" width="11.42578125" style="5"/>
    <col min="15378" max="15378" width="13.85546875" style="5" bestFit="1" customWidth="1"/>
    <col min="15379" max="15379" width="12.140625" style="5" bestFit="1" customWidth="1"/>
    <col min="15380" max="15382" width="11.42578125" style="5"/>
    <col min="15383" max="15383" width="9.42578125" style="5" customWidth="1"/>
    <col min="15384" max="15384" width="12.7109375" style="5" bestFit="1" customWidth="1"/>
    <col min="15385" max="15385" width="14.28515625" style="5" bestFit="1" customWidth="1"/>
    <col min="15386" max="15616" width="11.42578125" style="5"/>
    <col min="15617" max="15617" width="26.140625" style="5" customWidth="1"/>
    <col min="15618" max="15618" width="25.85546875" style="5" customWidth="1"/>
    <col min="15619" max="15619" width="21.85546875" style="5" customWidth="1"/>
    <col min="15620" max="15620" width="22.7109375" style="5" customWidth="1"/>
    <col min="15621" max="15621" width="19.85546875" style="5" customWidth="1"/>
    <col min="15622" max="15622" width="20.28515625" style="5" customWidth="1"/>
    <col min="15623" max="15623" width="4.5703125" style="5" customWidth="1"/>
    <col min="15624" max="15624" width="14.5703125" style="5" customWidth="1"/>
    <col min="15625" max="15625" width="20.5703125" style="5" customWidth="1"/>
    <col min="15626" max="15626" width="15" style="5" bestFit="1" customWidth="1"/>
    <col min="15627" max="15627" width="11.42578125" style="5"/>
    <col min="15628" max="15628" width="13" style="5" customWidth="1"/>
    <col min="15629" max="15629" width="14.5703125" style="5" bestFit="1" customWidth="1"/>
    <col min="15630" max="15630" width="13.85546875" style="5" bestFit="1" customWidth="1"/>
    <col min="15631" max="15631" width="11.42578125" style="5"/>
    <col min="15632" max="15632" width="13.85546875" style="5" bestFit="1" customWidth="1"/>
    <col min="15633" max="15633" width="11.42578125" style="5"/>
    <col min="15634" max="15634" width="13.85546875" style="5" bestFit="1" customWidth="1"/>
    <col min="15635" max="15635" width="12.140625" style="5" bestFit="1" customWidth="1"/>
    <col min="15636" max="15638" width="11.42578125" style="5"/>
    <col min="15639" max="15639" width="9.42578125" style="5" customWidth="1"/>
    <col min="15640" max="15640" width="12.7109375" style="5" bestFit="1" customWidth="1"/>
    <col min="15641" max="15641" width="14.28515625" style="5" bestFit="1" customWidth="1"/>
    <col min="15642" max="15872" width="11.42578125" style="5"/>
    <col min="15873" max="15873" width="26.140625" style="5" customWidth="1"/>
    <col min="15874" max="15874" width="25.85546875" style="5" customWidth="1"/>
    <col min="15875" max="15875" width="21.85546875" style="5" customWidth="1"/>
    <col min="15876" max="15876" width="22.7109375" style="5" customWidth="1"/>
    <col min="15877" max="15877" width="19.85546875" style="5" customWidth="1"/>
    <col min="15878" max="15878" width="20.28515625" style="5" customWidth="1"/>
    <col min="15879" max="15879" width="4.5703125" style="5" customWidth="1"/>
    <col min="15880" max="15880" width="14.5703125" style="5" customWidth="1"/>
    <col min="15881" max="15881" width="20.5703125" style="5" customWidth="1"/>
    <col min="15882" max="15882" width="15" style="5" bestFit="1" customWidth="1"/>
    <col min="15883" max="15883" width="11.42578125" style="5"/>
    <col min="15884" max="15884" width="13" style="5" customWidth="1"/>
    <col min="15885" max="15885" width="14.5703125" style="5" bestFit="1" customWidth="1"/>
    <col min="15886" max="15886" width="13.85546875" style="5" bestFit="1" customWidth="1"/>
    <col min="15887" max="15887" width="11.42578125" style="5"/>
    <col min="15888" max="15888" width="13.85546875" style="5" bestFit="1" customWidth="1"/>
    <col min="15889" max="15889" width="11.42578125" style="5"/>
    <col min="15890" max="15890" width="13.85546875" style="5" bestFit="1" customWidth="1"/>
    <col min="15891" max="15891" width="12.140625" style="5" bestFit="1" customWidth="1"/>
    <col min="15892" max="15894" width="11.42578125" style="5"/>
    <col min="15895" max="15895" width="9.42578125" style="5" customWidth="1"/>
    <col min="15896" max="15896" width="12.7109375" style="5" bestFit="1" customWidth="1"/>
    <col min="15897" max="15897" width="14.28515625" style="5" bestFit="1" customWidth="1"/>
    <col min="15898" max="16128" width="11.42578125" style="5"/>
    <col min="16129" max="16129" width="26.140625" style="5" customWidth="1"/>
    <col min="16130" max="16130" width="25.85546875" style="5" customWidth="1"/>
    <col min="16131" max="16131" width="21.85546875" style="5" customWidth="1"/>
    <col min="16132" max="16132" width="22.7109375" style="5" customWidth="1"/>
    <col min="16133" max="16133" width="19.85546875" style="5" customWidth="1"/>
    <col min="16134" max="16134" width="20.28515625" style="5" customWidth="1"/>
    <col min="16135" max="16135" width="4.5703125" style="5" customWidth="1"/>
    <col min="16136" max="16136" width="14.5703125" style="5" customWidth="1"/>
    <col min="16137" max="16137" width="20.5703125" style="5" customWidth="1"/>
    <col min="16138" max="16138" width="15" style="5" bestFit="1" customWidth="1"/>
    <col min="16139" max="16139" width="11.42578125" style="5"/>
    <col min="16140" max="16140" width="13" style="5" customWidth="1"/>
    <col min="16141" max="16141" width="14.5703125" style="5" bestFit="1" customWidth="1"/>
    <col min="16142" max="16142" width="13.85546875" style="5" bestFit="1" customWidth="1"/>
    <col min="16143" max="16143" width="11.42578125" style="5"/>
    <col min="16144" max="16144" width="13.85546875" style="5" bestFit="1" customWidth="1"/>
    <col min="16145" max="16145" width="11.42578125" style="5"/>
    <col min="16146" max="16146" width="13.85546875" style="5" bestFit="1" customWidth="1"/>
    <col min="16147" max="16147" width="12.140625" style="5" bestFit="1" customWidth="1"/>
    <col min="16148" max="16150" width="11.42578125" style="5"/>
    <col min="16151" max="16151" width="9.42578125" style="5" customWidth="1"/>
    <col min="16152" max="16152" width="12.7109375" style="5" bestFit="1" customWidth="1"/>
    <col min="16153" max="16153" width="14.28515625" style="5" bestFit="1" customWidth="1"/>
    <col min="16154" max="16384" width="11.42578125" style="5"/>
  </cols>
  <sheetData>
    <row r="1" spans="1:25" ht="13.5" thickBot="1" x14ac:dyDescent="0.25">
      <c r="C1" s="465"/>
      <c r="G1" s="4"/>
      <c r="H1" s="4"/>
      <c r="I1" s="4"/>
      <c r="J1" s="4"/>
      <c r="K1" s="4"/>
      <c r="L1" s="4"/>
      <c r="M1" s="4"/>
      <c r="N1" s="4"/>
      <c r="O1" s="4"/>
      <c r="P1" s="4"/>
      <c r="Q1" s="4"/>
      <c r="R1" s="4"/>
      <c r="S1" s="4"/>
      <c r="T1" s="4"/>
      <c r="U1" s="4"/>
      <c r="V1" s="4"/>
      <c r="W1" s="4"/>
      <c r="X1" s="4"/>
      <c r="Y1" s="4"/>
    </row>
    <row r="2" spans="1:25" ht="17.25" customHeight="1" thickBot="1" x14ac:dyDescent="0.25">
      <c r="A2" s="881" t="s">
        <v>306</v>
      </c>
      <c r="B2" s="882"/>
      <c r="C2" s="882"/>
      <c r="D2" s="882"/>
      <c r="E2" s="883"/>
      <c r="G2" s="4"/>
      <c r="H2" s="4"/>
      <c r="I2" s="4"/>
      <c r="J2" s="4"/>
      <c r="K2" s="4"/>
      <c r="L2" s="4"/>
      <c r="M2" s="4"/>
      <c r="N2" s="4"/>
      <c r="O2" s="4"/>
      <c r="P2" s="4"/>
      <c r="Q2" s="4"/>
      <c r="R2" s="4"/>
      <c r="S2" s="4"/>
      <c r="T2" s="4"/>
      <c r="U2" s="4"/>
      <c r="V2" s="4"/>
      <c r="W2" s="4"/>
      <c r="X2" s="4"/>
      <c r="Y2" s="4"/>
    </row>
    <row r="3" spans="1:25" x14ac:dyDescent="0.2">
      <c r="A3" s="884" t="s">
        <v>307</v>
      </c>
      <c r="B3" s="885"/>
      <c r="C3" s="885"/>
      <c r="D3" s="885"/>
      <c r="E3" s="886"/>
      <c r="G3" s="4"/>
      <c r="H3" s="4"/>
      <c r="I3" s="4"/>
      <c r="J3" s="4"/>
      <c r="K3" s="4"/>
      <c r="L3" s="4"/>
      <c r="M3" s="4"/>
      <c r="N3" s="4"/>
      <c r="O3" s="4"/>
      <c r="P3" s="4"/>
      <c r="Q3" s="4"/>
      <c r="R3" s="4"/>
      <c r="S3" s="4"/>
      <c r="T3" s="4"/>
      <c r="U3" s="4"/>
      <c r="V3" s="4"/>
      <c r="W3" s="4"/>
      <c r="X3" s="4"/>
      <c r="Y3" s="4"/>
    </row>
    <row r="4" spans="1:25" ht="13.5" thickBot="1" x14ac:dyDescent="0.25">
      <c r="A4" s="887" t="s">
        <v>308</v>
      </c>
      <c r="B4" s="888"/>
      <c r="C4" s="888"/>
      <c r="D4" s="888"/>
      <c r="E4" s="889"/>
      <c r="G4" s="4"/>
      <c r="H4" s="4"/>
      <c r="I4" s="4"/>
      <c r="J4" s="4"/>
      <c r="K4" s="4"/>
      <c r="L4" s="4"/>
      <c r="M4" s="4"/>
      <c r="N4" s="4"/>
      <c r="O4" s="4"/>
      <c r="P4" s="4"/>
      <c r="Q4" s="4"/>
      <c r="R4" s="4"/>
      <c r="S4" s="4"/>
      <c r="T4" s="4"/>
      <c r="U4" s="4"/>
      <c r="V4" s="4"/>
      <c r="W4" s="4"/>
      <c r="X4" s="4"/>
      <c r="Y4" s="4"/>
    </row>
    <row r="5" spans="1:25" ht="13.5" thickBot="1" x14ac:dyDescent="0.25">
      <c r="G5" s="4"/>
      <c r="H5" s="4"/>
      <c r="I5" s="4"/>
      <c r="J5" s="4"/>
      <c r="K5" s="4" t="s">
        <v>435</v>
      </c>
      <c r="L5" s="4"/>
      <c r="M5" s="4"/>
      <c r="N5" s="4"/>
      <c r="O5" s="4"/>
      <c r="P5" s="4"/>
      <c r="Q5" s="4"/>
      <c r="R5" s="4"/>
      <c r="S5" s="4"/>
      <c r="T5" s="4"/>
      <c r="U5" s="4"/>
      <c r="V5" s="4"/>
      <c r="W5" s="4"/>
      <c r="X5" s="4"/>
      <c r="Y5" s="4"/>
    </row>
    <row r="6" spans="1:25" ht="24" customHeight="1" thickBot="1" x14ac:dyDescent="0.3">
      <c r="A6" s="380"/>
      <c r="B6" s="466" t="s">
        <v>102</v>
      </c>
      <c r="C6" s="467" t="s">
        <v>309</v>
      </c>
      <c r="D6" s="468" t="s">
        <v>310</v>
      </c>
      <c r="E6" s="469" t="s">
        <v>311</v>
      </c>
      <c r="F6" s="470"/>
      <c r="G6" s="4"/>
      <c r="H6" s="4"/>
      <c r="I6" s="4"/>
      <c r="J6" s="4"/>
      <c r="K6" s="4"/>
      <c r="L6" s="4"/>
      <c r="M6" s="4"/>
      <c r="N6" s="4"/>
      <c r="O6" s="4"/>
      <c r="P6" s="4"/>
      <c r="Q6" s="4"/>
      <c r="R6" s="4"/>
      <c r="S6" s="4"/>
      <c r="T6" s="4"/>
      <c r="U6" s="4"/>
      <c r="V6" s="4"/>
      <c r="W6" s="4"/>
      <c r="X6" s="4"/>
      <c r="Y6" s="4"/>
    </row>
    <row r="7" spans="1:25" s="276" customFormat="1" ht="18" customHeight="1" x14ac:dyDescent="0.2">
      <c r="A7" s="381"/>
      <c r="B7" s="471" t="s">
        <v>312</v>
      </c>
      <c r="C7" s="724">
        <v>174.9</v>
      </c>
      <c r="D7" s="725">
        <v>56</v>
      </c>
      <c r="E7" s="734">
        <v>5128</v>
      </c>
      <c r="J7" s="727"/>
      <c r="K7" s="737">
        <f>C7*E7</f>
        <v>896887.20000000007</v>
      </c>
      <c r="L7" s="726"/>
      <c r="M7" s="727"/>
      <c r="N7" s="727"/>
      <c r="O7" s="472"/>
      <c r="P7" s="473"/>
      <c r="Q7" s="274"/>
      <c r="R7" s="274"/>
      <c r="T7" s="275"/>
    </row>
    <row r="8" spans="1:25" s="276" customFormat="1" ht="18" customHeight="1" thickBot="1" x14ac:dyDescent="0.25">
      <c r="A8" s="381"/>
      <c r="B8" s="474" t="s">
        <v>313</v>
      </c>
      <c r="C8" s="728">
        <v>175.7</v>
      </c>
      <c r="D8" s="729">
        <v>56.5</v>
      </c>
      <c r="E8" s="735">
        <v>5123</v>
      </c>
      <c r="J8" s="727"/>
      <c r="K8" s="737">
        <f>C8*E8</f>
        <v>900111.1</v>
      </c>
      <c r="L8" s="730"/>
      <c r="M8" s="727"/>
      <c r="N8" s="727"/>
      <c r="O8" s="476"/>
      <c r="P8" s="473"/>
      <c r="Q8" s="274"/>
      <c r="R8" s="274"/>
      <c r="T8" s="275"/>
    </row>
    <row r="9" spans="1:25" s="276" customFormat="1" ht="18" customHeight="1" thickBot="1" x14ac:dyDescent="0.25">
      <c r="A9" s="381"/>
      <c r="B9" s="477" t="s">
        <v>314</v>
      </c>
      <c r="C9" s="731">
        <f>C8-C7</f>
        <v>0.79999999999998295</v>
      </c>
      <c r="D9" s="732">
        <f>E15</f>
        <v>56.250433590766079</v>
      </c>
      <c r="E9" s="736">
        <f>SUM(E7:E8)</f>
        <v>10251</v>
      </c>
      <c r="J9" s="733"/>
      <c r="K9" s="738">
        <f>SUM(K7:K8)</f>
        <v>1796998.3</v>
      </c>
      <c r="L9" s="739">
        <f>K9/E9</f>
        <v>175.29980489708322</v>
      </c>
      <c r="M9" s="740" t="s">
        <v>434</v>
      </c>
      <c r="N9" s="741"/>
      <c r="O9" s="476"/>
      <c r="P9" s="274"/>
      <c r="Q9" s="274"/>
      <c r="R9" s="274"/>
      <c r="T9" s="275"/>
    </row>
    <row r="10" spans="1:25" ht="15" hidden="1" x14ac:dyDescent="0.25">
      <c r="A10" s="466"/>
      <c r="B10" s="478"/>
      <c r="C10" s="479"/>
      <c r="D10" s="479"/>
      <c r="E10" s="480"/>
      <c r="F10" s="480"/>
      <c r="G10" s="66"/>
      <c r="H10" s="66"/>
      <c r="I10" s="66"/>
      <c r="J10" s="66"/>
      <c r="K10" s="475"/>
      <c r="L10" s="481"/>
      <c r="M10" s="66"/>
      <c r="N10" s="482"/>
      <c r="O10" s="483"/>
    </row>
    <row r="11" spans="1:25" ht="15" hidden="1" x14ac:dyDescent="0.25">
      <c r="A11" s="484" t="s">
        <v>315</v>
      </c>
      <c r="B11" s="386"/>
      <c r="C11" s="386"/>
      <c r="D11" s="386"/>
      <c r="E11" s="386"/>
      <c r="F11" s="386"/>
      <c r="G11" s="12"/>
      <c r="H11" s="12"/>
      <c r="I11" s="12"/>
      <c r="J11" s="12"/>
      <c r="K11" s="12"/>
      <c r="L11" s="12"/>
      <c r="M11" s="12"/>
      <c r="P11" s="12"/>
    </row>
    <row r="12" spans="1:25" ht="15" hidden="1" x14ac:dyDescent="0.25">
      <c r="A12" s="485"/>
      <c r="B12" s="486" t="s">
        <v>316</v>
      </c>
      <c r="C12" s="386"/>
      <c r="D12" s="386"/>
      <c r="E12" s="386"/>
      <c r="F12" s="386"/>
      <c r="G12" s="12"/>
      <c r="H12" s="12"/>
      <c r="I12" s="12"/>
      <c r="J12" s="12"/>
      <c r="K12" s="12"/>
      <c r="L12" s="12"/>
      <c r="M12" s="12"/>
      <c r="P12" s="12"/>
    </row>
    <row r="13" spans="1:25" ht="15" hidden="1" x14ac:dyDescent="0.25">
      <c r="A13" s="487" t="s">
        <v>317</v>
      </c>
      <c r="B13" s="488"/>
      <c r="C13" s="489" t="s">
        <v>318</v>
      </c>
      <c r="D13" s="490">
        <f>(D7^2)/(D8^2)</f>
        <v>0.98237919962408959</v>
      </c>
      <c r="E13" s="491"/>
      <c r="F13" s="492" t="s">
        <v>319</v>
      </c>
      <c r="G13" s="493">
        <f>FDIST(D13,E7-1,E8-1)</f>
        <v>0.7377065845003703</v>
      </c>
      <c r="H13" s="494" t="s">
        <v>320</v>
      </c>
      <c r="I13" s="12"/>
      <c r="J13" s="495"/>
      <c r="K13" s="12"/>
      <c r="L13" s="12"/>
      <c r="P13" s="12"/>
    </row>
    <row r="14" spans="1:25" ht="15.75" hidden="1" thickBot="1" x14ac:dyDescent="0.3">
      <c r="A14" s="487" t="s">
        <v>321</v>
      </c>
      <c r="B14" s="386" t="s">
        <v>322</v>
      </c>
      <c r="C14" s="12"/>
      <c r="D14" s="12"/>
      <c r="E14" s="12"/>
      <c r="F14" s="12"/>
      <c r="G14" s="12"/>
      <c r="K14" s="496">
        <f>((E7-1)*(D7^2)+(E8-1)*(D8^2))/(E7+E8-2)</f>
        <v>3164.1112791491851</v>
      </c>
      <c r="M14" s="12" t="s">
        <v>323</v>
      </c>
      <c r="P14" s="12"/>
    </row>
    <row r="15" spans="1:25" ht="15.75" hidden="1" thickBot="1" x14ac:dyDescent="0.3">
      <c r="A15" s="386"/>
      <c r="B15" s="497"/>
      <c r="C15" s="498" t="s">
        <v>324</v>
      </c>
      <c r="D15" s="499" t="s">
        <v>325</v>
      </c>
      <c r="E15" s="500">
        <f>SQRT(K14)</f>
        <v>56.250433590766079</v>
      </c>
      <c r="F15" s="386"/>
      <c r="G15" s="12"/>
      <c r="H15" s="501"/>
      <c r="I15" s="502" t="s">
        <v>326</v>
      </c>
      <c r="J15" s="503">
        <f>E7+E8-2</f>
        <v>10249</v>
      </c>
      <c r="K15" s="12"/>
      <c r="L15" s="12"/>
      <c r="M15" s="12"/>
      <c r="N15" s="12" t="s">
        <v>327</v>
      </c>
      <c r="P15" s="12"/>
    </row>
    <row r="16" spans="1:25" ht="15" hidden="1" x14ac:dyDescent="0.25">
      <c r="A16" s="487" t="s">
        <v>328</v>
      </c>
      <c r="B16" s="504" t="s">
        <v>329</v>
      </c>
      <c r="C16" s="386"/>
      <c r="D16" s="386"/>
      <c r="E16" s="386"/>
      <c r="F16" s="386"/>
      <c r="G16" s="12"/>
      <c r="H16" s="12"/>
      <c r="I16" s="12"/>
      <c r="J16" s="12"/>
      <c r="K16" s="12"/>
      <c r="L16" s="12"/>
      <c r="M16" s="12"/>
      <c r="P16" s="12"/>
    </row>
    <row r="17" spans="1:21" ht="15.75" hidden="1" thickBot="1" x14ac:dyDescent="0.3">
      <c r="A17" s="380"/>
      <c r="B17" s="505"/>
      <c r="C17" s="506"/>
      <c r="D17" s="507" t="s">
        <v>330</v>
      </c>
      <c r="E17" s="508">
        <f>E15*SQRT((1/E7)+(1/E8))</f>
        <v>1.111150292689852</v>
      </c>
      <c r="F17" s="509"/>
      <c r="G17" s="510" t="s">
        <v>331</v>
      </c>
      <c r="H17" s="511">
        <f>TINV(0.05,E7+E8-2)</f>
        <v>1.9601954750897024</v>
      </c>
      <c r="I17" s="29" t="s">
        <v>332</v>
      </c>
      <c r="J17" s="512">
        <f>H17*E17</f>
        <v>2.1780717758752464</v>
      </c>
      <c r="L17" s="12"/>
      <c r="M17" s="75"/>
      <c r="N17" s="76" t="s">
        <v>17</v>
      </c>
      <c r="O17" s="77" t="s">
        <v>333</v>
      </c>
      <c r="P17" s="78"/>
      <c r="Q17" s="79"/>
      <c r="R17" s="80"/>
      <c r="S17" s="80"/>
      <c r="T17" s="81"/>
    </row>
    <row r="18" spans="1:21" ht="15" hidden="1" x14ac:dyDescent="0.25">
      <c r="A18" s="386"/>
      <c r="B18" s="470"/>
      <c r="C18" s="513"/>
      <c r="D18" s="386"/>
      <c r="E18" s="386"/>
      <c r="F18" s="386"/>
      <c r="G18" s="12"/>
      <c r="H18" s="12"/>
      <c r="I18" s="12"/>
      <c r="J18" s="12"/>
      <c r="K18" s="12"/>
      <c r="L18" s="12"/>
      <c r="M18" s="89">
        <f>E7</f>
        <v>5128</v>
      </c>
      <c r="N18" s="22" t="s">
        <v>18</v>
      </c>
      <c r="O18" s="2"/>
      <c r="P18" s="58"/>
      <c r="Q18" s="57"/>
      <c r="R18" s="59"/>
      <c r="S18" s="59"/>
      <c r="T18" s="90"/>
    </row>
    <row r="19" spans="1:21" ht="15.75" hidden="1" thickBot="1" x14ac:dyDescent="0.3">
      <c r="A19" s="487" t="s">
        <v>334</v>
      </c>
      <c r="B19" s="385"/>
      <c r="C19" s="498" t="s">
        <v>335</v>
      </c>
      <c r="D19" s="514">
        <f>C8-C7</f>
        <v>0.79999999999998295</v>
      </c>
      <c r="E19" s="515" t="s">
        <v>336</v>
      </c>
      <c r="F19" s="516">
        <f>D19-J17</f>
        <v>-1.3780717758752634</v>
      </c>
      <c r="G19" s="517" t="s">
        <v>24</v>
      </c>
      <c r="H19" s="518">
        <f>D19+J17</f>
        <v>2.9780717758752293</v>
      </c>
      <c r="I19" s="12"/>
      <c r="K19" s="519"/>
      <c r="L19" s="12"/>
      <c r="M19" s="520">
        <f>C9</f>
        <v>0.79999999999998295</v>
      </c>
      <c r="N19" s="22" t="s">
        <v>337</v>
      </c>
      <c r="O19" s="22"/>
      <c r="P19" s="22"/>
      <c r="Q19" s="22"/>
      <c r="R19" s="22"/>
      <c r="S19" s="22"/>
      <c r="T19" s="94"/>
    </row>
    <row r="20" spans="1:21" ht="15" hidden="1" x14ac:dyDescent="0.25">
      <c r="A20" s="487"/>
      <c r="B20" s="385"/>
      <c r="C20" s="384"/>
      <c r="D20" s="521"/>
      <c r="E20" s="522"/>
      <c r="F20" s="521"/>
      <c r="G20" s="31"/>
      <c r="H20" s="41"/>
      <c r="I20" s="12"/>
      <c r="J20" s="12"/>
      <c r="K20" s="12"/>
      <c r="L20" s="12"/>
      <c r="M20" s="523">
        <f>E15^2</f>
        <v>3164.1112791491846</v>
      </c>
      <c r="N20" s="96" t="s">
        <v>338</v>
      </c>
      <c r="O20" s="2"/>
      <c r="P20" s="58"/>
      <c r="Q20" s="57"/>
      <c r="R20" s="59"/>
      <c r="S20" s="59"/>
      <c r="T20" s="92"/>
    </row>
    <row r="21" spans="1:21" ht="15.75" hidden="1" thickBot="1" x14ac:dyDescent="0.3">
      <c r="A21" s="487" t="s">
        <v>339</v>
      </c>
      <c r="B21" s="524" t="s">
        <v>340</v>
      </c>
      <c r="C21" s="525"/>
      <c r="D21" s="526"/>
      <c r="E21" s="515"/>
      <c r="F21" s="527">
        <f>ABS(D19/E17)</f>
        <v>0.71997461123225537</v>
      </c>
      <c r="G21" s="517" t="s">
        <v>341</v>
      </c>
      <c r="H21" s="528" t="s">
        <v>342</v>
      </c>
      <c r="I21" s="529">
        <f>TDIST(F21,E7+E8-2,2)</f>
        <v>0.4715570456996514</v>
      </c>
      <c r="J21" s="530" t="s">
        <v>343</v>
      </c>
      <c r="K21" s="530"/>
      <c r="L21" s="12"/>
      <c r="M21" s="531">
        <f>SQRT((M18*M19^2)/(2*M20))-H17</f>
        <v>-1.2400452131653239</v>
      </c>
      <c r="N21" s="96" t="s">
        <v>333</v>
      </c>
      <c r="O21" s="22"/>
      <c r="P21" s="22"/>
      <c r="Q21" s="22"/>
      <c r="R21" s="22"/>
      <c r="S21" s="4"/>
      <c r="T21" s="90"/>
    </row>
    <row r="22" spans="1:21" s="12" customFormat="1" ht="15" hidden="1" x14ac:dyDescent="0.25">
      <c r="A22" s="487"/>
      <c r="B22" s="386"/>
      <c r="C22" s="470"/>
      <c r="D22" s="532"/>
      <c r="E22" s="470"/>
      <c r="F22" s="532"/>
      <c r="G22" s="2"/>
      <c r="K22" s="519"/>
      <c r="M22" s="533">
        <f>NORMSDIST(M21)</f>
        <v>0.10747933570912035</v>
      </c>
      <c r="N22" s="56" t="s">
        <v>21</v>
      </c>
      <c r="O22" s="104"/>
      <c r="P22" s="22"/>
      <c r="Q22" s="22"/>
      <c r="R22" s="22"/>
      <c r="S22" s="22"/>
      <c r="T22" s="92"/>
    </row>
    <row r="23" spans="1:21" ht="15.75" hidden="1" thickBot="1" x14ac:dyDescent="0.3">
      <c r="A23" s="387" t="s">
        <v>344</v>
      </c>
      <c r="B23" s="380"/>
      <c r="C23" s="380"/>
      <c r="D23" s="380"/>
      <c r="E23" s="380"/>
      <c r="F23" s="534"/>
      <c r="G23" s="535"/>
      <c r="H23" s="12"/>
      <c r="I23" s="12"/>
      <c r="J23" s="12"/>
      <c r="K23" s="12"/>
      <c r="L23" s="12"/>
      <c r="M23" s="536">
        <f>1-M22</f>
        <v>0.89252066429087962</v>
      </c>
      <c r="N23" s="114" t="s">
        <v>20</v>
      </c>
      <c r="O23" s="115"/>
      <c r="P23" s="116"/>
      <c r="Q23" s="115"/>
      <c r="R23" s="115"/>
      <c r="S23" s="115"/>
      <c r="T23" s="117"/>
    </row>
    <row r="24" spans="1:21" ht="30.75" hidden="1" thickBot="1" x14ac:dyDescent="0.3">
      <c r="A24" s="537"/>
      <c r="B24" s="538"/>
      <c r="C24" s="539" t="s">
        <v>309</v>
      </c>
      <c r="D24" s="540" t="s">
        <v>345</v>
      </c>
      <c r="E24" s="540" t="s">
        <v>346</v>
      </c>
      <c r="F24" s="541" t="s">
        <v>347</v>
      </c>
      <c r="G24" s="541" t="s">
        <v>348</v>
      </c>
      <c r="H24" s="541" t="s">
        <v>349</v>
      </c>
      <c r="I24" s="542" t="s">
        <v>350</v>
      </c>
      <c r="J24" s="541" t="s">
        <v>351</v>
      </c>
      <c r="K24" s="543" t="s">
        <v>352</v>
      </c>
      <c r="L24" s="543" t="s">
        <v>353</v>
      </c>
    </row>
    <row r="25" spans="1:21" ht="15.75" hidden="1" thickBot="1" x14ac:dyDescent="0.3">
      <c r="A25" s="537"/>
      <c r="B25" s="544" t="s">
        <v>354</v>
      </c>
      <c r="C25" s="545">
        <f t="shared" ref="C25:E26" si="0">C7</f>
        <v>174.9</v>
      </c>
      <c r="D25" s="546">
        <f t="shared" si="0"/>
        <v>56</v>
      </c>
      <c r="E25" s="547">
        <f t="shared" si="0"/>
        <v>5128</v>
      </c>
      <c r="F25" s="548">
        <v>0.95</v>
      </c>
      <c r="G25" s="549">
        <f>D25/(SQRT(E25))</f>
        <v>0.78201308286912374</v>
      </c>
      <c r="H25" s="550">
        <f>E25-1</f>
        <v>5127</v>
      </c>
      <c r="I25" s="551">
        <f>TINV((1-F25),H25)</f>
        <v>1.9604267935598512</v>
      </c>
      <c r="J25" s="552">
        <f>G25*I25</f>
        <v>1.5330794005709705</v>
      </c>
      <c r="K25" s="553">
        <f>C25-J25</f>
        <v>173.36692059942902</v>
      </c>
      <c r="L25" s="553">
        <f>C25+J25</f>
        <v>176.43307940057099</v>
      </c>
      <c r="M25" s="554"/>
      <c r="N25" s="535"/>
    </row>
    <row r="26" spans="1:21" ht="15.75" hidden="1" thickBot="1" x14ac:dyDescent="0.3">
      <c r="A26" s="537"/>
      <c r="B26" s="544" t="s">
        <v>355</v>
      </c>
      <c r="C26" s="545">
        <f t="shared" si="0"/>
        <v>175.7</v>
      </c>
      <c r="D26" s="546">
        <f t="shared" si="0"/>
        <v>56.5</v>
      </c>
      <c r="E26" s="547">
        <f t="shared" si="0"/>
        <v>5123</v>
      </c>
      <c r="F26" s="548">
        <v>0.95</v>
      </c>
      <c r="G26" s="549">
        <f t="shared" ref="G26" si="1">D26/(SQRT(E26))</f>
        <v>0.78938027466887406</v>
      </c>
      <c r="H26" s="550">
        <f t="shared" ref="H26" si="2">E26-1</f>
        <v>5122</v>
      </c>
      <c r="I26" s="551">
        <f>TINV((1-F26),H26)</f>
        <v>1.9604272454500913</v>
      </c>
      <c r="J26" s="552">
        <f t="shared" ref="J26" si="3">G26*I26</f>
        <v>1.5475225974817373</v>
      </c>
      <c r="K26" s="553">
        <f t="shared" ref="K26" si="4">C26-J26</f>
        <v>174.15247740251826</v>
      </c>
      <c r="L26" s="553">
        <f t="shared" ref="L26" si="5">C26+J26</f>
        <v>177.24752259748172</v>
      </c>
      <c r="M26" s="555"/>
      <c r="N26" s="555"/>
      <c r="O26" s="48"/>
      <c r="Q26" s="6"/>
    </row>
    <row r="27" spans="1:21" s="22" customFormat="1" ht="15" hidden="1" x14ac:dyDescent="0.25">
      <c r="A27" s="556"/>
      <c r="B27" s="557"/>
      <c r="C27" s="557"/>
      <c r="D27" s="557"/>
      <c r="E27" s="557"/>
      <c r="F27" s="466"/>
      <c r="M27" s="75"/>
      <c r="N27" s="76" t="s">
        <v>17</v>
      </c>
      <c r="O27" s="77" t="s">
        <v>356</v>
      </c>
      <c r="P27" s="78"/>
      <c r="Q27" s="79"/>
      <c r="R27" s="83"/>
      <c r="S27" s="83"/>
      <c r="T27" s="558"/>
    </row>
    <row r="28" spans="1:21" ht="15" hidden="1" x14ac:dyDescent="0.25">
      <c r="A28" s="559" t="s">
        <v>317</v>
      </c>
      <c r="B28" s="560"/>
      <c r="C28" s="561" t="s">
        <v>357</v>
      </c>
      <c r="D28" s="562">
        <f>(D25^2)/(D26^2)</f>
        <v>0.98237919962408959</v>
      </c>
      <c r="E28" s="563"/>
      <c r="F28" s="564" t="s">
        <v>358</v>
      </c>
      <c r="G28" s="565">
        <f>FDIST(D28,E25-1,E26-1)</f>
        <v>0.7377065845003703</v>
      </c>
      <c r="H28" s="494" t="s">
        <v>320</v>
      </c>
      <c r="L28" s="22"/>
      <c r="M28" s="566" t="s">
        <v>359</v>
      </c>
      <c r="N28" s="567">
        <f>ABS(C26-L25)/G26</f>
        <v>0.92867712064189789</v>
      </c>
      <c r="O28" s="22"/>
      <c r="P28" s="22"/>
      <c r="Q28" s="22"/>
      <c r="R28" s="22"/>
      <c r="S28" s="22"/>
      <c r="T28" s="94"/>
      <c r="U28" s="22"/>
    </row>
    <row r="29" spans="1:21" ht="15.75" hidden="1" thickBot="1" x14ac:dyDescent="0.3">
      <c r="A29" s="559" t="s">
        <v>360</v>
      </c>
      <c r="B29" s="380" t="s">
        <v>361</v>
      </c>
      <c r="C29" s="380"/>
      <c r="D29" s="380"/>
      <c r="E29" s="380"/>
      <c r="F29" s="380"/>
      <c r="L29" s="22"/>
      <c r="M29" s="568">
        <f>1-(TDIST(N28,H26,1))</f>
        <v>0.82344989868268326</v>
      </c>
      <c r="N29" s="569" t="s">
        <v>21</v>
      </c>
      <c r="O29" s="119"/>
      <c r="P29" s="115"/>
      <c r="Q29" s="115"/>
      <c r="R29" s="115"/>
      <c r="S29" s="115"/>
      <c r="T29" s="120"/>
      <c r="U29" s="22"/>
    </row>
    <row r="30" spans="1:21" ht="15" hidden="1" x14ac:dyDescent="0.25">
      <c r="A30" s="559"/>
      <c r="B30" s="380" t="s">
        <v>362</v>
      </c>
      <c r="C30" s="380"/>
      <c r="D30" s="380"/>
      <c r="E30" s="380"/>
      <c r="F30" s="380"/>
      <c r="L30" s="22"/>
      <c r="N30" s="4"/>
      <c r="O30" s="4"/>
      <c r="P30" s="22"/>
      <c r="Q30" s="22"/>
      <c r="R30" s="22"/>
      <c r="S30" s="22"/>
      <c r="T30" s="4"/>
      <c r="U30" s="22"/>
    </row>
    <row r="31" spans="1:21" ht="18.75" hidden="1" x14ac:dyDescent="0.3">
      <c r="A31" s="559" t="s">
        <v>363</v>
      </c>
      <c r="B31" s="388" t="s">
        <v>364</v>
      </c>
      <c r="C31" s="380"/>
      <c r="D31" s="380"/>
      <c r="E31" s="380"/>
      <c r="F31" s="380"/>
      <c r="L31" s="22"/>
      <c r="M31" s="22"/>
      <c r="N31" s="4"/>
      <c r="O31" s="4"/>
      <c r="P31" s="22"/>
      <c r="Q31" s="22"/>
      <c r="R31" s="22"/>
      <c r="S31" s="22"/>
      <c r="T31" s="4"/>
      <c r="U31" s="22"/>
    </row>
    <row r="32" spans="1:21" ht="15" hidden="1" x14ac:dyDescent="0.25">
      <c r="A32" s="380"/>
      <c r="B32" s="380" t="s">
        <v>365</v>
      </c>
      <c r="C32" s="385" t="s">
        <v>366</v>
      </c>
      <c r="D32" s="465">
        <f>(D25^2)/E25</f>
        <v>0.6115444617784711</v>
      </c>
      <c r="E32" s="385" t="s">
        <v>367</v>
      </c>
      <c r="F32" s="465">
        <f>(D26^2)/E26</f>
        <v>0.62312121803630682</v>
      </c>
      <c r="G32" s="226"/>
      <c r="H32" s="226" t="s">
        <v>368</v>
      </c>
      <c r="I32" s="445">
        <f>(D32+F32)^2</f>
        <v>1.5243993409124876</v>
      </c>
      <c r="J32" s="12"/>
      <c r="K32" s="29"/>
      <c r="L32" s="22"/>
      <c r="M32" s="22"/>
      <c r="N32" s="4"/>
      <c r="O32" s="4"/>
      <c r="P32" s="22"/>
      <c r="Q32" s="22"/>
      <c r="R32" s="22"/>
      <c r="S32" s="22"/>
      <c r="T32" s="4"/>
      <c r="U32" s="22"/>
    </row>
    <row r="33" spans="1:21" ht="15" hidden="1" x14ac:dyDescent="0.25">
      <c r="A33" s="380"/>
      <c r="B33" s="380"/>
      <c r="C33" s="385" t="s">
        <v>369</v>
      </c>
      <c r="D33" s="570">
        <f>E25+1</f>
        <v>5129</v>
      </c>
      <c r="E33" s="385" t="s">
        <v>370</v>
      </c>
      <c r="F33" s="570">
        <f>E26+1</f>
        <v>5124</v>
      </c>
      <c r="G33" s="226" t="s">
        <v>371</v>
      </c>
      <c r="H33" s="571">
        <f>D32^2</f>
        <v>0.3739866287319199</v>
      </c>
      <c r="I33" s="226" t="s">
        <v>372</v>
      </c>
      <c r="J33" s="572">
        <f>F32^2</f>
        <v>0.38828005236705065</v>
      </c>
      <c r="L33" s="22"/>
      <c r="M33" s="22"/>
      <c r="N33" s="4"/>
      <c r="O33" s="4"/>
      <c r="P33" s="22"/>
      <c r="Q33" s="22"/>
      <c r="R33" s="22"/>
      <c r="S33" s="22"/>
      <c r="T33" s="4"/>
      <c r="U33" s="22"/>
    </row>
    <row r="34" spans="1:21" ht="15" hidden="1" x14ac:dyDescent="0.25">
      <c r="A34" s="380"/>
      <c r="B34" s="380"/>
      <c r="C34" s="386"/>
      <c r="D34" s="385" t="s">
        <v>373</v>
      </c>
      <c r="E34" s="573">
        <f>H33/D33</f>
        <v>7.2916090608680042E-5</v>
      </c>
      <c r="F34" s="386"/>
      <c r="G34" s="226" t="s">
        <v>374</v>
      </c>
      <c r="H34" s="574">
        <f>J33/F33</f>
        <v>7.5776747144233147E-5</v>
      </c>
      <c r="I34" s="12"/>
      <c r="J34" s="12"/>
      <c r="L34" s="22"/>
      <c r="M34" s="22"/>
      <c r="N34" s="4"/>
      <c r="O34" s="4"/>
      <c r="P34" s="22"/>
      <c r="Q34" s="22"/>
      <c r="R34" s="22"/>
      <c r="S34" s="22"/>
      <c r="T34" s="4"/>
      <c r="U34" s="22"/>
    </row>
    <row r="35" spans="1:21" ht="15" hidden="1" x14ac:dyDescent="0.25">
      <c r="A35" s="380"/>
      <c r="B35" s="575"/>
      <c r="C35" s="576" t="s">
        <v>375</v>
      </c>
      <c r="D35" s="577">
        <f>I32/(E34+H34)</f>
        <v>10252.002476713924</v>
      </c>
      <c r="E35" s="578" t="s">
        <v>376</v>
      </c>
      <c r="F35" s="578"/>
      <c r="G35" s="579"/>
      <c r="H35" s="579"/>
      <c r="I35" s="379"/>
      <c r="J35" s="12"/>
      <c r="K35" s="29"/>
      <c r="L35" s="22"/>
      <c r="M35" s="22"/>
      <c r="N35" s="4"/>
      <c r="O35" s="4"/>
      <c r="P35" s="22"/>
      <c r="Q35" s="22"/>
      <c r="R35" s="22"/>
      <c r="S35" s="22"/>
      <c r="T35" s="4"/>
      <c r="U35" s="22"/>
    </row>
    <row r="36" spans="1:21" ht="15" hidden="1" x14ac:dyDescent="0.25">
      <c r="A36" s="559" t="s">
        <v>334</v>
      </c>
      <c r="B36" s="580" t="s">
        <v>377</v>
      </c>
      <c r="C36" s="563"/>
      <c r="D36" s="581" t="s">
        <v>378</v>
      </c>
      <c r="E36" s="582">
        <f>TINV(0.05,D35)</f>
        <v>1.9601954073414589</v>
      </c>
      <c r="F36" s="31"/>
      <c r="G36" s="583"/>
      <c r="H36" s="584" t="s">
        <v>379</v>
      </c>
      <c r="I36" s="585">
        <f>SQRT(D32+F32)</f>
        <v>1.1111551106010258</v>
      </c>
      <c r="J36" s="29" t="s">
        <v>380</v>
      </c>
      <c r="K36" s="586">
        <f>I36*E36</f>
        <v>2.1780811446441217</v>
      </c>
      <c r="L36" s="22"/>
      <c r="M36" s="22"/>
      <c r="N36" s="4"/>
      <c r="O36" s="4"/>
      <c r="P36" s="22"/>
      <c r="Q36" s="22"/>
      <c r="R36" s="22"/>
      <c r="S36" s="22"/>
      <c r="T36" s="4"/>
      <c r="U36" s="22"/>
    </row>
    <row r="37" spans="1:21" ht="15" hidden="1" x14ac:dyDescent="0.25">
      <c r="A37" s="380"/>
      <c r="B37" s="380"/>
      <c r="C37" s="380"/>
      <c r="D37" s="380"/>
      <c r="E37" s="380"/>
      <c r="F37" s="380"/>
      <c r="L37" s="22"/>
      <c r="M37" s="22"/>
      <c r="N37" s="4"/>
      <c r="O37" s="4"/>
      <c r="P37" s="22"/>
      <c r="Q37" s="22"/>
      <c r="R37" s="22"/>
      <c r="S37" s="22"/>
      <c r="T37" s="4"/>
      <c r="U37" s="22"/>
    </row>
    <row r="38" spans="1:21" ht="15.75" hidden="1" thickBot="1" x14ac:dyDescent="0.3">
      <c r="A38" s="559" t="s">
        <v>339</v>
      </c>
      <c r="B38" s="587"/>
      <c r="C38" s="498" t="s">
        <v>335</v>
      </c>
      <c r="D38" s="588">
        <f>C26-C25</f>
        <v>0.79999999999998295</v>
      </c>
      <c r="E38" s="589" t="s">
        <v>336</v>
      </c>
      <c r="F38" s="590">
        <f>D38-K36</f>
        <v>-1.3780811446441388</v>
      </c>
      <c r="G38" s="591" t="s">
        <v>24</v>
      </c>
      <c r="H38" s="592">
        <f>D38+K36</f>
        <v>2.9780811446441047</v>
      </c>
      <c r="L38" s="22"/>
      <c r="M38" s="22"/>
      <c r="N38" s="4"/>
      <c r="O38" s="4"/>
      <c r="P38" s="22"/>
      <c r="Q38" s="22"/>
      <c r="R38" s="22"/>
      <c r="S38" s="22"/>
      <c r="T38" s="4"/>
      <c r="U38" s="22"/>
    </row>
    <row r="39" spans="1:21" ht="15" hidden="1" x14ac:dyDescent="0.25">
      <c r="A39" s="559"/>
      <c r="B39" s="559"/>
      <c r="C39" s="559"/>
      <c r="D39" s="559"/>
      <c r="E39" s="559"/>
      <c r="F39" s="559"/>
      <c r="G39" s="559"/>
      <c r="H39" s="559"/>
      <c r="I39" s="559"/>
      <c r="L39" s="22"/>
      <c r="M39" s="22"/>
      <c r="N39" s="4"/>
      <c r="O39" s="4"/>
      <c r="P39" s="22"/>
      <c r="Q39" s="22"/>
      <c r="R39" s="22"/>
      <c r="S39" s="22"/>
      <c r="T39" s="4"/>
      <c r="U39" s="22"/>
    </row>
    <row r="40" spans="1:21" ht="15.75" hidden="1" thickBot="1" x14ac:dyDescent="0.3">
      <c r="A40" s="380"/>
      <c r="B40" s="524" t="s">
        <v>381</v>
      </c>
      <c r="C40" s="525"/>
      <c r="D40" s="526"/>
      <c r="E40" s="515"/>
      <c r="F40" s="527">
        <f>ABS(D38/I36)</f>
        <v>0.71997148945952427</v>
      </c>
      <c r="G40" s="517" t="s">
        <v>341</v>
      </c>
      <c r="H40" s="528" t="s">
        <v>342</v>
      </c>
      <c r="I40" s="529">
        <f>TDIST(F40,D35,2)</f>
        <v>0.47155896293315902</v>
      </c>
      <c r="J40" s="530" t="s">
        <v>343</v>
      </c>
      <c r="K40" s="530"/>
      <c r="L40" s="22"/>
      <c r="M40" s="22"/>
      <c r="N40" s="4"/>
      <c r="O40" s="4"/>
      <c r="P40" s="22"/>
      <c r="Q40" s="22"/>
      <c r="R40" s="22"/>
      <c r="S40" s="22"/>
      <c r="T40" s="4"/>
      <c r="U40" s="22"/>
    </row>
    <row r="41" spans="1:21" ht="15" hidden="1" x14ac:dyDescent="0.25">
      <c r="A41" s="593"/>
      <c r="B41" s="593"/>
      <c r="C41" s="593"/>
      <c r="D41" s="593"/>
      <c r="E41" s="593"/>
      <c r="F41" s="593"/>
      <c r="G41" s="4"/>
      <c r="H41" s="4"/>
      <c r="I41" s="4"/>
      <c r="J41" s="4"/>
      <c r="K41" s="4"/>
      <c r="L41" s="4"/>
      <c r="M41" s="4"/>
      <c r="N41" s="4"/>
      <c r="O41" s="4"/>
      <c r="P41" s="4"/>
      <c r="Q41" s="4"/>
      <c r="R41" s="4"/>
      <c r="S41" s="4"/>
      <c r="T41" s="4"/>
    </row>
    <row r="42" spans="1:21" ht="15" hidden="1" x14ac:dyDescent="0.25">
      <c r="A42" s="593"/>
      <c r="B42" s="594"/>
      <c r="C42" s="595"/>
      <c r="D42" s="596" t="s">
        <v>382</v>
      </c>
      <c r="E42" s="597">
        <f>I21</f>
        <v>0.4715570456996514</v>
      </c>
      <c r="F42" s="597">
        <f>I40</f>
        <v>0.47155896293315902</v>
      </c>
      <c r="G42" s="598"/>
      <c r="H42" s="598"/>
      <c r="I42" s="598"/>
      <c r="J42" s="599"/>
      <c r="K42" s="4"/>
      <c r="L42" s="4"/>
      <c r="M42" s="4"/>
      <c r="N42" s="4"/>
      <c r="O42" s="4"/>
      <c r="P42" s="4"/>
      <c r="Q42" s="4"/>
      <c r="R42" s="4"/>
      <c r="S42" s="4"/>
      <c r="T42" s="4"/>
    </row>
    <row r="43" spans="1:21" ht="15" hidden="1" x14ac:dyDescent="0.25">
      <c r="A43" s="593"/>
      <c r="B43" s="600"/>
      <c r="C43" s="593"/>
      <c r="D43" s="593"/>
      <c r="E43" s="593" t="s">
        <v>383</v>
      </c>
      <c r="F43" s="593" t="s">
        <v>384</v>
      </c>
      <c r="G43" s="4"/>
      <c r="H43" s="4"/>
      <c r="I43" s="4"/>
      <c r="J43" s="601"/>
      <c r="K43" s="4"/>
      <c r="L43" s="4"/>
      <c r="M43" s="4"/>
      <c r="N43" s="4"/>
      <c r="O43" s="4"/>
      <c r="P43" s="4"/>
      <c r="Q43" s="4"/>
      <c r="R43" s="4"/>
      <c r="S43" s="4"/>
      <c r="T43" s="4"/>
    </row>
    <row r="44" spans="1:21" ht="15" hidden="1" x14ac:dyDescent="0.25">
      <c r="A44" s="602"/>
      <c r="B44" s="603" t="s">
        <v>73</v>
      </c>
      <c r="C44" s="604">
        <f>ROUND(C7,2)</f>
        <v>174.9</v>
      </c>
      <c r="D44" s="604">
        <f>ROUND(C8,2)</f>
        <v>175.7</v>
      </c>
      <c r="E44" s="604">
        <f>ROUND(D19,2)</f>
        <v>0.8</v>
      </c>
      <c r="F44" s="604">
        <f>ROUND(D38,2)</f>
        <v>0.8</v>
      </c>
      <c r="G44" s="22" t="s">
        <v>385</v>
      </c>
      <c r="H44" s="605">
        <f>M22</f>
        <v>0.10747933570912035</v>
      </c>
      <c r="I44" s="606"/>
      <c r="J44" s="607"/>
      <c r="K44" s="4"/>
      <c r="L44" s="4"/>
      <c r="M44" s="4"/>
      <c r="N44" s="4"/>
      <c r="O44" s="4"/>
      <c r="P44" s="4"/>
      <c r="Q44" s="4"/>
      <c r="R44" s="4"/>
      <c r="S44" s="4"/>
      <c r="T44" s="4"/>
    </row>
    <row r="45" spans="1:21" ht="15" hidden="1" x14ac:dyDescent="0.25">
      <c r="A45" s="608"/>
      <c r="B45" s="603" t="s">
        <v>75</v>
      </c>
      <c r="C45" s="604">
        <f>ROUND(D7,2)</f>
        <v>56</v>
      </c>
      <c r="D45" s="604">
        <f>ROUND(D8,2)</f>
        <v>56.5</v>
      </c>
      <c r="E45" s="604">
        <f>ROUND(F19,2)</f>
        <v>-1.38</v>
      </c>
      <c r="F45" s="604">
        <f>ROUND(F38,2)</f>
        <v>-1.38</v>
      </c>
      <c r="G45" s="609">
        <f>I21</f>
        <v>0.4715570456996514</v>
      </c>
      <c r="H45" s="203"/>
      <c r="I45" s="606"/>
      <c r="J45" s="607"/>
      <c r="K45" s="4"/>
      <c r="L45" s="4"/>
      <c r="M45" s="4"/>
      <c r="N45" s="4"/>
      <c r="O45" s="4"/>
      <c r="P45" s="4"/>
      <c r="Q45" s="4"/>
      <c r="R45" s="4"/>
      <c r="S45" s="4"/>
      <c r="T45" s="4"/>
    </row>
    <row r="46" spans="1:21" ht="15" hidden="1" x14ac:dyDescent="0.25">
      <c r="A46" s="593"/>
      <c r="B46" s="603" t="s">
        <v>74</v>
      </c>
      <c r="C46" s="610" t="s">
        <v>386</v>
      </c>
      <c r="D46" s="610" t="s">
        <v>386</v>
      </c>
      <c r="E46" s="604">
        <f>ROUND(H19,2)</f>
        <v>2.98</v>
      </c>
      <c r="F46" s="604">
        <f>ROUND(H38,2)</f>
        <v>2.98</v>
      </c>
      <c r="G46" s="611"/>
      <c r="H46" s="203"/>
      <c r="I46" s="606"/>
      <c r="J46" s="607"/>
      <c r="K46" s="4"/>
      <c r="L46" s="4"/>
      <c r="M46" s="4"/>
      <c r="N46" s="4"/>
      <c r="O46" s="4"/>
      <c r="P46" s="4"/>
      <c r="Q46" s="4"/>
      <c r="R46" s="4"/>
      <c r="S46" s="4"/>
      <c r="T46" s="4"/>
    </row>
    <row r="47" spans="1:21" ht="15" hidden="1" x14ac:dyDescent="0.25">
      <c r="A47" s="593"/>
      <c r="B47" s="603" t="s">
        <v>76</v>
      </c>
      <c r="C47" s="610" t="s">
        <v>387</v>
      </c>
      <c r="D47" s="610" t="s">
        <v>388</v>
      </c>
      <c r="E47" s="610" t="s">
        <v>389</v>
      </c>
      <c r="F47" s="610" t="s">
        <v>389</v>
      </c>
      <c r="G47" s="22"/>
      <c r="H47" s="612" t="s">
        <v>390</v>
      </c>
      <c r="I47" s="612" t="s">
        <v>391</v>
      </c>
      <c r="J47" s="613" t="s">
        <v>392</v>
      </c>
      <c r="K47" s="4"/>
      <c r="L47" s="4"/>
      <c r="M47" s="4"/>
      <c r="N47" s="4"/>
      <c r="O47" s="4"/>
      <c r="P47" s="4"/>
      <c r="Q47" s="4"/>
      <c r="R47" s="4"/>
      <c r="S47" s="4"/>
      <c r="T47" s="4"/>
    </row>
    <row r="48" spans="1:21" ht="15" hidden="1" x14ac:dyDescent="0.25">
      <c r="A48" s="593"/>
      <c r="B48" s="614" t="s">
        <v>24</v>
      </c>
      <c r="C48" s="615" t="str">
        <f>CONCATENATE(C44," ",B44,C46," ",C45,B46)</f>
        <v>174,9 (DE 56)</v>
      </c>
      <c r="D48" s="615" t="str">
        <f>CONCATENATE(D44," ",B44,D46," ",D45,B46)</f>
        <v>175,7 (DE 56,5)</v>
      </c>
      <c r="E48" s="616" t="str">
        <f>CONCATENATE(E44," ",B44,E45," ",B48," ",E46,B46)</f>
        <v>0,8 (-1,38 a 2,98)</v>
      </c>
      <c r="F48" s="616" t="str">
        <f>CONCATENATE(F44," ",B44,F45," ",B48," ",F46,B46)</f>
        <v>0,8 (-1,38 a 2,98)</v>
      </c>
      <c r="G48" s="617">
        <f>G45</f>
        <v>0.4715570456996514</v>
      </c>
      <c r="H48" s="618">
        <f>H44</f>
        <v>0.10747933570912035</v>
      </c>
      <c r="I48" s="619">
        <f>D13</f>
        <v>0.98237919962408959</v>
      </c>
      <c r="J48" s="620">
        <f>G28</f>
        <v>0.7377065845003703</v>
      </c>
      <c r="K48" s="4"/>
      <c r="L48" s="4"/>
      <c r="M48" s="4"/>
      <c r="N48" s="4"/>
      <c r="O48" s="4"/>
      <c r="P48" s="4"/>
      <c r="Q48" s="4"/>
      <c r="R48" s="4"/>
      <c r="S48" s="4"/>
      <c r="T48" s="4"/>
    </row>
    <row r="49" spans="1:36" ht="15.75" thickBot="1" x14ac:dyDescent="0.3">
      <c r="A49" s="593"/>
      <c r="B49" s="593"/>
      <c r="C49" s="593"/>
      <c r="D49" s="593"/>
      <c r="E49" s="593"/>
      <c r="F49" s="593"/>
      <c r="G49" s="4"/>
      <c r="H49" s="4"/>
      <c r="I49" s="4"/>
      <c r="J49" s="4"/>
      <c r="K49" s="4"/>
      <c r="L49" s="4"/>
      <c r="M49" s="4"/>
      <c r="N49" s="4"/>
      <c r="O49" s="4"/>
      <c r="P49" s="4"/>
      <c r="Q49" s="4"/>
      <c r="R49" s="4"/>
      <c r="S49" s="4"/>
      <c r="T49" s="4"/>
    </row>
    <row r="50" spans="1:36" ht="45.75" thickBot="1" x14ac:dyDescent="0.3">
      <c r="A50" s="621"/>
      <c r="B50" s="622" t="s">
        <v>387</v>
      </c>
      <c r="C50" s="623" t="s">
        <v>388</v>
      </c>
      <c r="D50" s="623" t="s">
        <v>389</v>
      </c>
      <c r="E50" s="624" t="s">
        <v>393</v>
      </c>
      <c r="F50" s="625" t="s">
        <v>390</v>
      </c>
      <c r="H50" s="626" t="s">
        <v>394</v>
      </c>
      <c r="J50" s="627"/>
      <c r="K50" s="4"/>
      <c r="L50" s="4"/>
      <c r="M50" s="4"/>
      <c r="N50" s="4"/>
      <c r="O50" s="4"/>
      <c r="P50" s="4"/>
      <c r="Q50" s="4"/>
      <c r="R50" s="4"/>
      <c r="S50" s="4"/>
      <c r="T50" s="4"/>
    </row>
    <row r="51" spans="1:36" ht="24.75" customHeight="1" x14ac:dyDescent="0.2">
      <c r="A51" s="628" t="s">
        <v>395</v>
      </c>
      <c r="B51" s="629" t="str">
        <f>C48</f>
        <v>174,9 (DE 56)</v>
      </c>
      <c r="C51" s="629" t="str">
        <f>D48</f>
        <v>175,7 (DE 56,5)</v>
      </c>
      <c r="D51" s="629" t="str">
        <f>E48</f>
        <v>0,8 (-1,38 a 2,98)</v>
      </c>
      <c r="E51" s="630">
        <f>E42</f>
        <v>0.4715570456996514</v>
      </c>
      <c r="F51" s="631">
        <f>H48</f>
        <v>0.10747933570912035</v>
      </c>
      <c r="H51" s="632">
        <f>J48</f>
        <v>0.7377065845003703</v>
      </c>
      <c r="I51" s="890" t="s">
        <v>396</v>
      </c>
      <c r="J51" s="891"/>
      <c r="K51" s="4"/>
      <c r="L51" s="4"/>
      <c r="M51" s="4"/>
      <c r="N51" s="4"/>
      <c r="O51" s="4"/>
      <c r="P51" s="4"/>
      <c r="Q51" s="4"/>
      <c r="R51" s="4"/>
      <c r="S51" s="4"/>
      <c r="T51" s="4"/>
    </row>
    <row r="52" spans="1:36" ht="8.25" customHeight="1" x14ac:dyDescent="0.2">
      <c r="A52" s="628"/>
      <c r="B52" s="628"/>
      <c r="C52" s="628"/>
      <c r="D52" s="628"/>
      <c r="E52" s="628"/>
      <c r="F52" s="628"/>
      <c r="G52" s="628"/>
      <c r="H52" s="628"/>
      <c r="I52" s="628"/>
      <c r="J52" s="633"/>
      <c r="K52" s="4"/>
      <c r="L52" s="4"/>
      <c r="M52" s="4"/>
      <c r="N52" s="4"/>
      <c r="O52" s="4"/>
      <c r="P52" s="4"/>
      <c r="Q52" s="4"/>
      <c r="R52" s="4"/>
      <c r="S52" s="4"/>
      <c r="T52" s="4"/>
    </row>
    <row r="53" spans="1:36" ht="24.75" customHeight="1" x14ac:dyDescent="0.2">
      <c r="A53" s="634" t="s">
        <v>397</v>
      </c>
      <c r="B53" s="635" t="str">
        <f>B51</f>
        <v>174,9 (DE 56)</v>
      </c>
      <c r="C53" s="635" t="str">
        <f>C51</f>
        <v>175,7 (DE 56,5)</v>
      </c>
      <c r="D53" s="635" t="str">
        <f>F48</f>
        <v>0,8 (-1,38 a 2,98)</v>
      </c>
      <c r="E53" s="636">
        <f>F42</f>
        <v>0.47155896293315902</v>
      </c>
      <c r="F53" s="637"/>
      <c r="G53" s="638"/>
      <c r="H53" s="639">
        <f>H51</f>
        <v>0.7377065845003703</v>
      </c>
      <c r="I53" s="892" t="s">
        <v>398</v>
      </c>
      <c r="J53" s="893"/>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ht="12" customHeight="1" x14ac:dyDescent="0.25">
      <c r="A54" s="640"/>
      <c r="E54" s="641"/>
      <c r="F54" s="641"/>
      <c r="G54" s="2"/>
      <c r="H54" s="2"/>
      <c r="I54" s="183"/>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ht="15.75" thickBot="1" x14ac:dyDescent="0.3">
      <c r="A55" s="640" t="s">
        <v>399</v>
      </c>
      <c r="B55" s="470"/>
      <c r="C55" s="470"/>
      <c r="D55" s="470"/>
      <c r="E55" s="641"/>
      <c r="F55" s="641"/>
      <c r="G55" s="642"/>
      <c r="H55" s="2"/>
      <c r="I55" s="183"/>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ht="15.75" hidden="1" thickBot="1" x14ac:dyDescent="0.25">
      <c r="A56" s="894" t="s">
        <v>400</v>
      </c>
      <c r="B56" s="894"/>
      <c r="C56" s="894"/>
      <c r="D56" s="894"/>
      <c r="E56" s="894"/>
      <c r="F56" s="894"/>
      <c r="G56" s="643"/>
      <c r="H56" s="2"/>
      <c r="I56" s="183"/>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ht="15.75" hidden="1" thickBot="1" x14ac:dyDescent="0.3">
      <c r="A57" s="393" t="s">
        <v>401</v>
      </c>
      <c r="B57" s="593"/>
      <c r="C57" s="593"/>
      <c r="D57" s="644"/>
      <c r="E57" s="593"/>
      <c r="F57" s="593"/>
      <c r="G57" s="4"/>
      <c r="H57" s="2"/>
      <c r="I57" s="183"/>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ht="11.25" hidden="1" customHeight="1" x14ac:dyDescent="0.25">
      <c r="A58" s="393"/>
      <c r="B58" s="593"/>
      <c r="C58" s="593"/>
      <c r="D58" s="644"/>
      <c r="E58" s="593"/>
      <c r="F58" s="593"/>
      <c r="G58" s="4"/>
      <c r="H58" s="2"/>
      <c r="I58" s="183"/>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ht="64.5" hidden="1" customHeight="1" x14ac:dyDescent="0.2">
      <c r="A59" s="880" t="s">
        <v>402</v>
      </c>
      <c r="B59" s="880"/>
      <c r="C59" s="880"/>
      <c r="D59" s="880"/>
      <c r="E59" s="880"/>
      <c r="F59" s="880"/>
      <c r="G59" s="880"/>
      <c r="H59" s="880"/>
      <c r="I59" s="183"/>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ht="15.75" hidden="1" thickBot="1" x14ac:dyDescent="0.3">
      <c r="A60" s="645"/>
      <c r="B60" s="380"/>
      <c r="C60" s="380"/>
      <c r="D60" s="380"/>
      <c r="E60" s="380"/>
      <c r="F60" s="380"/>
      <c r="H60" s="2"/>
      <c r="I60" s="183"/>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36" ht="15.75" hidden="1" thickBot="1" x14ac:dyDescent="0.3">
      <c r="A61" s="470"/>
      <c r="B61" s="470"/>
      <c r="C61" s="470"/>
      <c r="D61" s="641"/>
      <c r="E61" s="641"/>
      <c r="F61" s="641"/>
      <c r="G61" s="2"/>
      <c r="H61" s="2"/>
      <c r="I61" s="183"/>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36" ht="15.75" hidden="1" thickBot="1" x14ac:dyDescent="0.3">
      <c r="A62" s="593"/>
      <c r="B62" s="388" t="s">
        <v>403</v>
      </c>
      <c r="C62" s="646" t="s">
        <v>404</v>
      </c>
      <c r="D62" s="646" t="s">
        <v>386</v>
      </c>
      <c r="E62" s="587"/>
      <c r="F62" s="593"/>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15.75" hidden="1" thickBot="1" x14ac:dyDescent="0.3">
      <c r="A63" s="593"/>
      <c r="B63" s="560" t="s">
        <v>405</v>
      </c>
      <c r="C63" s="647">
        <f>C7</f>
        <v>174.9</v>
      </c>
      <c r="D63" s="647">
        <f>D7</f>
        <v>56</v>
      </c>
      <c r="E63" s="587"/>
      <c r="F63" s="593"/>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ht="15.75" hidden="1" thickBot="1" x14ac:dyDescent="0.3">
      <c r="A64" s="648"/>
      <c r="B64" s="560" t="s">
        <v>406</v>
      </c>
      <c r="C64" s="647">
        <f>C8</f>
        <v>175.7</v>
      </c>
      <c r="D64" s="647">
        <f>D8</f>
        <v>56.5</v>
      </c>
      <c r="E64" s="587"/>
      <c r="F64" s="593"/>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36" ht="15.75" hidden="1" thickBot="1" x14ac:dyDescent="0.3">
      <c r="A65" s="593"/>
      <c r="B65" s="560" t="s">
        <v>407</v>
      </c>
      <c r="C65" s="649">
        <f>C64-C63</f>
        <v>0.79999999999998295</v>
      </c>
      <c r="D65" s="650"/>
      <c r="E65" s="651"/>
      <c r="F65" s="593"/>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36" ht="15.75" hidden="1" thickBot="1" x14ac:dyDescent="0.3">
      <c r="A66" s="593"/>
      <c r="B66" s="560" t="s">
        <v>408</v>
      </c>
      <c r="C66" s="650"/>
      <c r="D66" s="652">
        <f>AVERAGE(D63:D64)</f>
        <v>56.25</v>
      </c>
      <c r="E66" s="587"/>
      <c r="F66" s="593"/>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1:36" ht="15.75" hidden="1" thickBot="1" x14ac:dyDescent="0.3">
      <c r="A67" s="480"/>
      <c r="B67" s="653" t="s">
        <v>409</v>
      </c>
      <c r="C67" s="654"/>
      <c r="D67" s="654"/>
      <c r="E67" s="655">
        <f>D19/D66</f>
        <v>1.4222222222221919E-2</v>
      </c>
      <c r="F67" s="380"/>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1:36" ht="15.75" hidden="1" thickBot="1" x14ac:dyDescent="0.3">
      <c r="A68" s="384"/>
      <c r="B68" s="383"/>
      <c r="C68" s="593"/>
      <c r="D68" s="593"/>
      <c r="E68" s="593"/>
      <c r="F68" s="593"/>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ht="15.75" hidden="1" thickBot="1" x14ac:dyDescent="0.3">
      <c r="A69" s="384"/>
      <c r="B69" s="656">
        <f>E67</f>
        <v>1.4222222222221919E-2</v>
      </c>
      <c r="C69" s="657">
        <f>F19/D66</f>
        <v>-2.4499053793338017E-2</v>
      </c>
      <c r="D69" s="658">
        <f>H19/D66</f>
        <v>5.2943498237781855E-2</v>
      </c>
      <c r="E69" s="593"/>
      <c r="F69" s="593"/>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1:36" ht="15.75" hidden="1" thickBot="1" x14ac:dyDescent="0.3">
      <c r="A70" s="659"/>
      <c r="B70" s="659"/>
      <c r="C70" s="659"/>
      <c r="D70" s="480"/>
      <c r="E70" s="610" t="s">
        <v>410</v>
      </c>
      <c r="F70" s="593"/>
      <c r="G70" s="2"/>
      <c r="H70" s="660"/>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36" ht="15.75" hidden="1" thickBot="1" x14ac:dyDescent="0.3">
      <c r="A71" s="470"/>
      <c r="B71" s="661">
        <f>ROUND(B69,2)</f>
        <v>0.01</v>
      </c>
      <c r="C71" s="661">
        <f>ROUND(C69,2)</f>
        <v>-0.02</v>
      </c>
      <c r="D71" s="661">
        <f>ROUND(D69,2)</f>
        <v>0.05</v>
      </c>
      <c r="E71" s="662" t="str">
        <f>CONCATENATE(B71," ",B44,C71," ",B48," ",D71,B46)</f>
        <v>0,01 (-0,02 a 0,05)</v>
      </c>
      <c r="F71" s="593"/>
      <c r="G71" s="2"/>
      <c r="H71" s="2"/>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1:36" ht="14.25" hidden="1" customHeight="1" x14ac:dyDescent="0.25">
      <c r="A72" s="470"/>
      <c r="C72" s="470"/>
      <c r="D72" s="470"/>
      <c r="E72" s="641"/>
      <c r="F72" s="641"/>
      <c r="G72" s="663"/>
      <c r="H72" s="2"/>
      <c r="I72" s="2"/>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1:36" ht="45.75" thickBot="1" x14ac:dyDescent="0.3">
      <c r="A73" s="470"/>
      <c r="B73" s="664" t="s">
        <v>387</v>
      </c>
      <c r="C73" s="665" t="s">
        <v>388</v>
      </c>
      <c r="D73" s="666" t="s">
        <v>411</v>
      </c>
      <c r="E73" s="641"/>
      <c r="F73" s="380"/>
      <c r="G73" s="663"/>
      <c r="H73" s="2"/>
      <c r="I73" s="2"/>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1:36" ht="27.75" customHeight="1" x14ac:dyDescent="0.25">
      <c r="A74" s="470"/>
      <c r="B74" s="629" t="str">
        <f>B51</f>
        <v>174,9 (DE 56)</v>
      </c>
      <c r="C74" s="629" t="str">
        <f>C51</f>
        <v>175,7 (DE 56,5)</v>
      </c>
      <c r="D74" s="629" t="str">
        <f>E71</f>
        <v>0,01 (-0,02 a 0,05)</v>
      </c>
      <c r="E74" s="667" t="s">
        <v>412</v>
      </c>
      <c r="F74" s="380"/>
      <c r="G74" s="663"/>
      <c r="H74" s="2"/>
      <c r="I74" s="2"/>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1:36" x14ac:dyDescent="0.2">
      <c r="H75" s="2"/>
      <c r="I75" s="2"/>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1:36" x14ac:dyDescent="0.2">
      <c r="H76" s="2"/>
      <c r="I76" s="2"/>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row>
  </sheetData>
  <mergeCells count="7">
    <mergeCell ref="A59:H59"/>
    <mergeCell ref="A2:E2"/>
    <mergeCell ref="A3:E3"/>
    <mergeCell ref="A4:E4"/>
    <mergeCell ref="I51:J51"/>
    <mergeCell ref="I53:J53"/>
    <mergeCell ref="A56:F56"/>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zoomScaleNormal="100" workbookViewId="0">
      <selection activeCell="M15" sqref="M15"/>
    </sheetView>
  </sheetViews>
  <sheetFormatPr baseColWidth="10" defaultRowHeight="12.75" x14ac:dyDescent="0.2"/>
  <cols>
    <col min="1" max="1" width="1.7109375" customWidth="1"/>
    <col min="2" max="2" width="25.28515625" customWidth="1"/>
    <col min="3" max="3" width="17.28515625" customWidth="1"/>
    <col min="4" max="4" width="10.7109375" customWidth="1"/>
    <col min="5" max="5" width="9.42578125" customWidth="1"/>
    <col min="6" max="6" width="5.140625" customWidth="1"/>
    <col min="7" max="7" width="12.42578125" customWidth="1"/>
    <col min="10" max="10" width="23.42578125" customWidth="1"/>
    <col min="11" max="11" width="14.28515625" customWidth="1"/>
    <col min="12" max="12" width="1.42578125" customWidth="1"/>
    <col min="256" max="256" width="25.28515625" customWidth="1"/>
    <col min="257" max="257" width="17.28515625" customWidth="1"/>
    <col min="258" max="258" width="10.7109375" customWidth="1"/>
    <col min="259" max="259" width="9.42578125" customWidth="1"/>
    <col min="260" max="260" width="6.140625" customWidth="1"/>
    <col min="261" max="261" width="12.42578125" customWidth="1"/>
    <col min="265" max="265" width="21.140625" customWidth="1"/>
    <col min="512" max="512" width="25.28515625" customWidth="1"/>
    <col min="513" max="513" width="17.28515625" customWidth="1"/>
    <col min="514" max="514" width="10.7109375" customWidth="1"/>
    <col min="515" max="515" width="9.42578125" customWidth="1"/>
    <col min="516" max="516" width="6.140625" customWidth="1"/>
    <col min="517" max="517" width="12.42578125" customWidth="1"/>
    <col min="521" max="521" width="21.140625" customWidth="1"/>
    <col min="768" max="768" width="25.28515625" customWidth="1"/>
    <col min="769" max="769" width="17.28515625" customWidth="1"/>
    <col min="770" max="770" width="10.7109375" customWidth="1"/>
    <col min="771" max="771" width="9.42578125" customWidth="1"/>
    <col min="772" max="772" width="6.140625" customWidth="1"/>
    <col min="773" max="773" width="12.42578125" customWidth="1"/>
    <col min="777" max="777" width="21.140625" customWidth="1"/>
    <col min="1024" max="1024" width="25.28515625" customWidth="1"/>
    <col min="1025" max="1025" width="17.28515625" customWidth="1"/>
    <col min="1026" max="1026" width="10.7109375" customWidth="1"/>
    <col min="1027" max="1027" width="9.42578125" customWidth="1"/>
    <col min="1028" max="1028" width="6.140625" customWidth="1"/>
    <col min="1029" max="1029" width="12.42578125" customWidth="1"/>
    <col min="1033" max="1033" width="21.140625" customWidth="1"/>
    <col min="1280" max="1280" width="25.28515625" customWidth="1"/>
    <col min="1281" max="1281" width="17.28515625" customWidth="1"/>
    <col min="1282" max="1282" width="10.7109375" customWidth="1"/>
    <col min="1283" max="1283" width="9.42578125" customWidth="1"/>
    <col min="1284" max="1284" width="6.140625" customWidth="1"/>
    <col min="1285" max="1285" width="12.42578125" customWidth="1"/>
    <col min="1289" max="1289" width="21.140625" customWidth="1"/>
    <col min="1536" max="1536" width="25.28515625" customWidth="1"/>
    <col min="1537" max="1537" width="17.28515625" customWidth="1"/>
    <col min="1538" max="1538" width="10.7109375" customWidth="1"/>
    <col min="1539" max="1539" width="9.42578125" customWidth="1"/>
    <col min="1540" max="1540" width="6.140625" customWidth="1"/>
    <col min="1541" max="1541" width="12.42578125" customWidth="1"/>
    <col min="1545" max="1545" width="21.140625" customWidth="1"/>
    <col min="1792" max="1792" width="25.28515625" customWidth="1"/>
    <col min="1793" max="1793" width="17.28515625" customWidth="1"/>
    <col min="1794" max="1794" width="10.7109375" customWidth="1"/>
    <col min="1795" max="1795" width="9.42578125" customWidth="1"/>
    <col min="1796" max="1796" width="6.140625" customWidth="1"/>
    <col min="1797" max="1797" width="12.42578125" customWidth="1"/>
    <col min="1801" max="1801" width="21.140625" customWidth="1"/>
    <col min="2048" max="2048" width="25.28515625" customWidth="1"/>
    <col min="2049" max="2049" width="17.28515625" customWidth="1"/>
    <col min="2050" max="2050" width="10.7109375" customWidth="1"/>
    <col min="2051" max="2051" width="9.42578125" customWidth="1"/>
    <col min="2052" max="2052" width="6.140625" customWidth="1"/>
    <col min="2053" max="2053" width="12.42578125" customWidth="1"/>
    <col min="2057" max="2057" width="21.140625" customWidth="1"/>
    <col min="2304" max="2304" width="25.28515625" customWidth="1"/>
    <col min="2305" max="2305" width="17.28515625" customWidth="1"/>
    <col min="2306" max="2306" width="10.7109375" customWidth="1"/>
    <col min="2307" max="2307" width="9.42578125" customWidth="1"/>
    <col min="2308" max="2308" width="6.140625" customWidth="1"/>
    <col min="2309" max="2309" width="12.42578125" customWidth="1"/>
    <col min="2313" max="2313" width="21.140625" customWidth="1"/>
    <col min="2560" max="2560" width="25.28515625" customWidth="1"/>
    <col min="2561" max="2561" width="17.28515625" customWidth="1"/>
    <col min="2562" max="2562" width="10.7109375" customWidth="1"/>
    <col min="2563" max="2563" width="9.42578125" customWidth="1"/>
    <col min="2564" max="2564" width="6.140625" customWidth="1"/>
    <col min="2565" max="2565" width="12.42578125" customWidth="1"/>
    <col min="2569" max="2569" width="21.140625" customWidth="1"/>
    <col min="2816" max="2816" width="25.28515625" customWidth="1"/>
    <col min="2817" max="2817" width="17.28515625" customWidth="1"/>
    <col min="2818" max="2818" width="10.7109375" customWidth="1"/>
    <col min="2819" max="2819" width="9.42578125" customWidth="1"/>
    <col min="2820" max="2820" width="6.140625" customWidth="1"/>
    <col min="2821" max="2821" width="12.42578125" customWidth="1"/>
    <col min="2825" max="2825" width="21.140625" customWidth="1"/>
    <col min="3072" max="3072" width="25.28515625" customWidth="1"/>
    <col min="3073" max="3073" width="17.28515625" customWidth="1"/>
    <col min="3074" max="3074" width="10.7109375" customWidth="1"/>
    <col min="3075" max="3075" width="9.42578125" customWidth="1"/>
    <col min="3076" max="3076" width="6.140625" customWidth="1"/>
    <col min="3077" max="3077" width="12.42578125" customWidth="1"/>
    <col min="3081" max="3081" width="21.140625" customWidth="1"/>
    <col min="3328" max="3328" width="25.28515625" customWidth="1"/>
    <col min="3329" max="3329" width="17.28515625" customWidth="1"/>
    <col min="3330" max="3330" width="10.7109375" customWidth="1"/>
    <col min="3331" max="3331" width="9.42578125" customWidth="1"/>
    <col min="3332" max="3332" width="6.140625" customWidth="1"/>
    <col min="3333" max="3333" width="12.42578125" customWidth="1"/>
    <col min="3337" max="3337" width="21.140625" customWidth="1"/>
    <col min="3584" max="3584" width="25.28515625" customWidth="1"/>
    <col min="3585" max="3585" width="17.28515625" customWidth="1"/>
    <col min="3586" max="3586" width="10.7109375" customWidth="1"/>
    <col min="3587" max="3587" width="9.42578125" customWidth="1"/>
    <col min="3588" max="3588" width="6.140625" customWidth="1"/>
    <col min="3589" max="3589" width="12.42578125" customWidth="1"/>
    <col min="3593" max="3593" width="21.140625" customWidth="1"/>
    <col min="3840" max="3840" width="25.28515625" customWidth="1"/>
    <col min="3841" max="3841" width="17.28515625" customWidth="1"/>
    <col min="3842" max="3842" width="10.7109375" customWidth="1"/>
    <col min="3843" max="3843" width="9.42578125" customWidth="1"/>
    <col min="3844" max="3844" width="6.140625" customWidth="1"/>
    <col min="3845" max="3845" width="12.42578125" customWidth="1"/>
    <col min="3849" max="3849" width="21.140625" customWidth="1"/>
    <col min="4096" max="4096" width="25.28515625" customWidth="1"/>
    <col min="4097" max="4097" width="17.28515625" customWidth="1"/>
    <col min="4098" max="4098" width="10.7109375" customWidth="1"/>
    <col min="4099" max="4099" width="9.42578125" customWidth="1"/>
    <col min="4100" max="4100" width="6.140625" customWidth="1"/>
    <col min="4101" max="4101" width="12.42578125" customWidth="1"/>
    <col min="4105" max="4105" width="21.140625" customWidth="1"/>
    <col min="4352" max="4352" width="25.28515625" customWidth="1"/>
    <col min="4353" max="4353" width="17.28515625" customWidth="1"/>
    <col min="4354" max="4354" width="10.7109375" customWidth="1"/>
    <col min="4355" max="4355" width="9.42578125" customWidth="1"/>
    <col min="4356" max="4356" width="6.140625" customWidth="1"/>
    <col min="4357" max="4357" width="12.42578125" customWidth="1"/>
    <col min="4361" max="4361" width="21.140625" customWidth="1"/>
    <col min="4608" max="4608" width="25.28515625" customWidth="1"/>
    <col min="4609" max="4609" width="17.28515625" customWidth="1"/>
    <col min="4610" max="4610" width="10.7109375" customWidth="1"/>
    <col min="4611" max="4611" width="9.42578125" customWidth="1"/>
    <col min="4612" max="4612" width="6.140625" customWidth="1"/>
    <col min="4613" max="4613" width="12.42578125" customWidth="1"/>
    <col min="4617" max="4617" width="21.140625" customWidth="1"/>
    <col min="4864" max="4864" width="25.28515625" customWidth="1"/>
    <col min="4865" max="4865" width="17.28515625" customWidth="1"/>
    <col min="4866" max="4866" width="10.7109375" customWidth="1"/>
    <col min="4867" max="4867" width="9.42578125" customWidth="1"/>
    <col min="4868" max="4868" width="6.140625" customWidth="1"/>
    <col min="4869" max="4869" width="12.42578125" customWidth="1"/>
    <col min="4873" max="4873" width="21.140625" customWidth="1"/>
    <col min="5120" max="5120" width="25.28515625" customWidth="1"/>
    <col min="5121" max="5121" width="17.28515625" customWidth="1"/>
    <col min="5122" max="5122" width="10.7109375" customWidth="1"/>
    <col min="5123" max="5123" width="9.42578125" customWidth="1"/>
    <col min="5124" max="5124" width="6.140625" customWidth="1"/>
    <col min="5125" max="5125" width="12.42578125" customWidth="1"/>
    <col min="5129" max="5129" width="21.140625" customWidth="1"/>
    <col min="5376" max="5376" width="25.28515625" customWidth="1"/>
    <col min="5377" max="5377" width="17.28515625" customWidth="1"/>
    <col min="5378" max="5378" width="10.7109375" customWidth="1"/>
    <col min="5379" max="5379" width="9.42578125" customWidth="1"/>
    <col min="5380" max="5380" width="6.140625" customWidth="1"/>
    <col min="5381" max="5381" width="12.42578125" customWidth="1"/>
    <col min="5385" max="5385" width="21.140625" customWidth="1"/>
    <col min="5632" max="5632" width="25.28515625" customWidth="1"/>
    <col min="5633" max="5633" width="17.28515625" customWidth="1"/>
    <col min="5634" max="5634" width="10.7109375" customWidth="1"/>
    <col min="5635" max="5635" width="9.42578125" customWidth="1"/>
    <col min="5636" max="5636" width="6.140625" customWidth="1"/>
    <col min="5637" max="5637" width="12.42578125" customWidth="1"/>
    <col min="5641" max="5641" width="21.140625" customWidth="1"/>
    <col min="5888" max="5888" width="25.28515625" customWidth="1"/>
    <col min="5889" max="5889" width="17.28515625" customWidth="1"/>
    <col min="5890" max="5890" width="10.7109375" customWidth="1"/>
    <col min="5891" max="5891" width="9.42578125" customWidth="1"/>
    <col min="5892" max="5892" width="6.140625" customWidth="1"/>
    <col min="5893" max="5893" width="12.42578125" customWidth="1"/>
    <col min="5897" max="5897" width="21.140625" customWidth="1"/>
    <col min="6144" max="6144" width="25.28515625" customWidth="1"/>
    <col min="6145" max="6145" width="17.28515625" customWidth="1"/>
    <col min="6146" max="6146" width="10.7109375" customWidth="1"/>
    <col min="6147" max="6147" width="9.42578125" customWidth="1"/>
    <col min="6148" max="6148" width="6.140625" customWidth="1"/>
    <col min="6149" max="6149" width="12.42578125" customWidth="1"/>
    <col min="6153" max="6153" width="21.140625" customWidth="1"/>
    <col min="6400" max="6400" width="25.28515625" customWidth="1"/>
    <col min="6401" max="6401" width="17.28515625" customWidth="1"/>
    <col min="6402" max="6402" width="10.7109375" customWidth="1"/>
    <col min="6403" max="6403" width="9.42578125" customWidth="1"/>
    <col min="6404" max="6404" width="6.140625" customWidth="1"/>
    <col min="6405" max="6405" width="12.42578125" customWidth="1"/>
    <col min="6409" max="6409" width="21.140625" customWidth="1"/>
    <col min="6656" max="6656" width="25.28515625" customWidth="1"/>
    <col min="6657" max="6657" width="17.28515625" customWidth="1"/>
    <col min="6658" max="6658" width="10.7109375" customWidth="1"/>
    <col min="6659" max="6659" width="9.42578125" customWidth="1"/>
    <col min="6660" max="6660" width="6.140625" customWidth="1"/>
    <col min="6661" max="6661" width="12.42578125" customWidth="1"/>
    <col min="6665" max="6665" width="21.140625" customWidth="1"/>
    <col min="6912" max="6912" width="25.28515625" customWidth="1"/>
    <col min="6913" max="6913" width="17.28515625" customWidth="1"/>
    <col min="6914" max="6914" width="10.7109375" customWidth="1"/>
    <col min="6915" max="6915" width="9.42578125" customWidth="1"/>
    <col min="6916" max="6916" width="6.140625" customWidth="1"/>
    <col min="6917" max="6917" width="12.42578125" customWidth="1"/>
    <col min="6921" max="6921" width="21.140625" customWidth="1"/>
    <col min="7168" max="7168" width="25.28515625" customWidth="1"/>
    <col min="7169" max="7169" width="17.28515625" customWidth="1"/>
    <col min="7170" max="7170" width="10.7109375" customWidth="1"/>
    <col min="7171" max="7171" width="9.42578125" customWidth="1"/>
    <col min="7172" max="7172" width="6.140625" customWidth="1"/>
    <col min="7173" max="7173" width="12.42578125" customWidth="1"/>
    <col min="7177" max="7177" width="21.140625" customWidth="1"/>
    <col min="7424" max="7424" width="25.28515625" customWidth="1"/>
    <col min="7425" max="7425" width="17.28515625" customWidth="1"/>
    <col min="7426" max="7426" width="10.7109375" customWidth="1"/>
    <col min="7427" max="7427" width="9.42578125" customWidth="1"/>
    <col min="7428" max="7428" width="6.140625" customWidth="1"/>
    <col min="7429" max="7429" width="12.42578125" customWidth="1"/>
    <col min="7433" max="7433" width="21.140625" customWidth="1"/>
    <col min="7680" max="7680" width="25.28515625" customWidth="1"/>
    <col min="7681" max="7681" width="17.28515625" customWidth="1"/>
    <col min="7682" max="7682" width="10.7109375" customWidth="1"/>
    <col min="7683" max="7683" width="9.42578125" customWidth="1"/>
    <col min="7684" max="7684" width="6.140625" customWidth="1"/>
    <col min="7685" max="7685" width="12.42578125" customWidth="1"/>
    <col min="7689" max="7689" width="21.140625" customWidth="1"/>
    <col min="7936" max="7936" width="25.28515625" customWidth="1"/>
    <col min="7937" max="7937" width="17.28515625" customWidth="1"/>
    <col min="7938" max="7938" width="10.7109375" customWidth="1"/>
    <col min="7939" max="7939" width="9.42578125" customWidth="1"/>
    <col min="7940" max="7940" width="6.140625" customWidth="1"/>
    <col min="7941" max="7941" width="12.42578125" customWidth="1"/>
    <col min="7945" max="7945" width="21.140625" customWidth="1"/>
    <col min="8192" max="8192" width="25.28515625" customWidth="1"/>
    <col min="8193" max="8193" width="17.28515625" customWidth="1"/>
    <col min="8194" max="8194" width="10.7109375" customWidth="1"/>
    <col min="8195" max="8195" width="9.42578125" customWidth="1"/>
    <col min="8196" max="8196" width="6.140625" customWidth="1"/>
    <col min="8197" max="8197" width="12.42578125" customWidth="1"/>
    <col min="8201" max="8201" width="21.140625" customWidth="1"/>
    <col min="8448" max="8448" width="25.28515625" customWidth="1"/>
    <col min="8449" max="8449" width="17.28515625" customWidth="1"/>
    <col min="8450" max="8450" width="10.7109375" customWidth="1"/>
    <col min="8451" max="8451" width="9.42578125" customWidth="1"/>
    <col min="8452" max="8452" width="6.140625" customWidth="1"/>
    <col min="8453" max="8453" width="12.42578125" customWidth="1"/>
    <col min="8457" max="8457" width="21.140625" customWidth="1"/>
    <col min="8704" max="8704" width="25.28515625" customWidth="1"/>
    <col min="8705" max="8705" width="17.28515625" customWidth="1"/>
    <col min="8706" max="8706" width="10.7109375" customWidth="1"/>
    <col min="8707" max="8707" width="9.42578125" customWidth="1"/>
    <col min="8708" max="8708" width="6.140625" customWidth="1"/>
    <col min="8709" max="8709" width="12.42578125" customWidth="1"/>
    <col min="8713" max="8713" width="21.140625" customWidth="1"/>
    <col min="8960" max="8960" width="25.28515625" customWidth="1"/>
    <col min="8961" max="8961" width="17.28515625" customWidth="1"/>
    <col min="8962" max="8962" width="10.7109375" customWidth="1"/>
    <col min="8963" max="8963" width="9.42578125" customWidth="1"/>
    <col min="8964" max="8964" width="6.140625" customWidth="1"/>
    <col min="8965" max="8965" width="12.42578125" customWidth="1"/>
    <col min="8969" max="8969" width="21.140625" customWidth="1"/>
    <col min="9216" max="9216" width="25.28515625" customWidth="1"/>
    <col min="9217" max="9217" width="17.28515625" customWidth="1"/>
    <col min="9218" max="9218" width="10.7109375" customWidth="1"/>
    <col min="9219" max="9219" width="9.42578125" customWidth="1"/>
    <col min="9220" max="9220" width="6.140625" customWidth="1"/>
    <col min="9221" max="9221" width="12.42578125" customWidth="1"/>
    <col min="9225" max="9225" width="21.140625" customWidth="1"/>
    <col min="9472" max="9472" width="25.28515625" customWidth="1"/>
    <col min="9473" max="9473" width="17.28515625" customWidth="1"/>
    <col min="9474" max="9474" width="10.7109375" customWidth="1"/>
    <col min="9475" max="9475" width="9.42578125" customWidth="1"/>
    <col min="9476" max="9476" width="6.140625" customWidth="1"/>
    <col min="9477" max="9477" width="12.42578125" customWidth="1"/>
    <col min="9481" max="9481" width="21.140625" customWidth="1"/>
    <col min="9728" max="9728" width="25.28515625" customWidth="1"/>
    <col min="9729" max="9729" width="17.28515625" customWidth="1"/>
    <col min="9730" max="9730" width="10.7109375" customWidth="1"/>
    <col min="9731" max="9731" width="9.42578125" customWidth="1"/>
    <col min="9732" max="9732" width="6.140625" customWidth="1"/>
    <col min="9733" max="9733" width="12.42578125" customWidth="1"/>
    <col min="9737" max="9737" width="21.140625" customWidth="1"/>
    <col min="9984" max="9984" width="25.28515625" customWidth="1"/>
    <col min="9985" max="9985" width="17.28515625" customWidth="1"/>
    <col min="9986" max="9986" width="10.7109375" customWidth="1"/>
    <col min="9987" max="9987" width="9.42578125" customWidth="1"/>
    <col min="9988" max="9988" width="6.140625" customWidth="1"/>
    <col min="9989" max="9989" width="12.42578125" customWidth="1"/>
    <col min="9993" max="9993" width="21.140625" customWidth="1"/>
    <col min="10240" max="10240" width="25.28515625" customWidth="1"/>
    <col min="10241" max="10241" width="17.28515625" customWidth="1"/>
    <col min="10242" max="10242" width="10.7109375" customWidth="1"/>
    <col min="10243" max="10243" width="9.42578125" customWidth="1"/>
    <col min="10244" max="10244" width="6.140625" customWidth="1"/>
    <col min="10245" max="10245" width="12.42578125" customWidth="1"/>
    <col min="10249" max="10249" width="21.140625" customWidth="1"/>
    <col min="10496" max="10496" width="25.28515625" customWidth="1"/>
    <col min="10497" max="10497" width="17.28515625" customWidth="1"/>
    <col min="10498" max="10498" width="10.7109375" customWidth="1"/>
    <col min="10499" max="10499" width="9.42578125" customWidth="1"/>
    <col min="10500" max="10500" width="6.140625" customWidth="1"/>
    <col min="10501" max="10501" width="12.42578125" customWidth="1"/>
    <col min="10505" max="10505" width="21.140625" customWidth="1"/>
    <col min="10752" max="10752" width="25.28515625" customWidth="1"/>
    <col min="10753" max="10753" width="17.28515625" customWidth="1"/>
    <col min="10754" max="10754" width="10.7109375" customWidth="1"/>
    <col min="10755" max="10755" width="9.42578125" customWidth="1"/>
    <col min="10756" max="10756" width="6.140625" customWidth="1"/>
    <col min="10757" max="10757" width="12.42578125" customWidth="1"/>
    <col min="10761" max="10761" width="21.140625" customWidth="1"/>
    <col min="11008" max="11008" width="25.28515625" customWidth="1"/>
    <col min="11009" max="11009" width="17.28515625" customWidth="1"/>
    <col min="11010" max="11010" width="10.7109375" customWidth="1"/>
    <col min="11011" max="11011" width="9.42578125" customWidth="1"/>
    <col min="11012" max="11012" width="6.140625" customWidth="1"/>
    <col min="11013" max="11013" width="12.42578125" customWidth="1"/>
    <col min="11017" max="11017" width="21.140625" customWidth="1"/>
    <col min="11264" max="11264" width="25.28515625" customWidth="1"/>
    <col min="11265" max="11265" width="17.28515625" customWidth="1"/>
    <col min="11266" max="11266" width="10.7109375" customWidth="1"/>
    <col min="11267" max="11267" width="9.42578125" customWidth="1"/>
    <col min="11268" max="11268" width="6.140625" customWidth="1"/>
    <col min="11269" max="11269" width="12.42578125" customWidth="1"/>
    <col min="11273" max="11273" width="21.140625" customWidth="1"/>
    <col min="11520" max="11520" width="25.28515625" customWidth="1"/>
    <col min="11521" max="11521" width="17.28515625" customWidth="1"/>
    <col min="11522" max="11522" width="10.7109375" customWidth="1"/>
    <col min="11523" max="11523" width="9.42578125" customWidth="1"/>
    <col min="11524" max="11524" width="6.140625" customWidth="1"/>
    <col min="11525" max="11525" width="12.42578125" customWidth="1"/>
    <col min="11529" max="11529" width="21.140625" customWidth="1"/>
    <col min="11776" max="11776" width="25.28515625" customWidth="1"/>
    <col min="11777" max="11777" width="17.28515625" customWidth="1"/>
    <col min="11778" max="11778" width="10.7109375" customWidth="1"/>
    <col min="11779" max="11779" width="9.42578125" customWidth="1"/>
    <col min="11780" max="11780" width="6.140625" customWidth="1"/>
    <col min="11781" max="11781" width="12.42578125" customWidth="1"/>
    <col min="11785" max="11785" width="21.140625" customWidth="1"/>
    <col min="12032" max="12032" width="25.28515625" customWidth="1"/>
    <col min="12033" max="12033" width="17.28515625" customWidth="1"/>
    <col min="12034" max="12034" width="10.7109375" customWidth="1"/>
    <col min="12035" max="12035" width="9.42578125" customWidth="1"/>
    <col min="12036" max="12036" width="6.140625" customWidth="1"/>
    <col min="12037" max="12037" width="12.42578125" customWidth="1"/>
    <col min="12041" max="12041" width="21.140625" customWidth="1"/>
    <col min="12288" max="12288" width="25.28515625" customWidth="1"/>
    <col min="12289" max="12289" width="17.28515625" customWidth="1"/>
    <col min="12290" max="12290" width="10.7109375" customWidth="1"/>
    <col min="12291" max="12291" width="9.42578125" customWidth="1"/>
    <col min="12292" max="12292" width="6.140625" customWidth="1"/>
    <col min="12293" max="12293" width="12.42578125" customWidth="1"/>
    <col min="12297" max="12297" width="21.140625" customWidth="1"/>
    <col min="12544" max="12544" width="25.28515625" customWidth="1"/>
    <col min="12545" max="12545" width="17.28515625" customWidth="1"/>
    <col min="12546" max="12546" width="10.7109375" customWidth="1"/>
    <col min="12547" max="12547" width="9.42578125" customWidth="1"/>
    <col min="12548" max="12548" width="6.140625" customWidth="1"/>
    <col min="12549" max="12549" width="12.42578125" customWidth="1"/>
    <col min="12553" max="12553" width="21.140625" customWidth="1"/>
    <col min="12800" max="12800" width="25.28515625" customWidth="1"/>
    <col min="12801" max="12801" width="17.28515625" customWidth="1"/>
    <col min="12802" max="12802" width="10.7109375" customWidth="1"/>
    <col min="12803" max="12803" width="9.42578125" customWidth="1"/>
    <col min="12804" max="12804" width="6.140625" customWidth="1"/>
    <col min="12805" max="12805" width="12.42578125" customWidth="1"/>
    <col min="12809" max="12809" width="21.140625" customWidth="1"/>
    <col min="13056" max="13056" width="25.28515625" customWidth="1"/>
    <col min="13057" max="13057" width="17.28515625" customWidth="1"/>
    <col min="13058" max="13058" width="10.7109375" customWidth="1"/>
    <col min="13059" max="13059" width="9.42578125" customWidth="1"/>
    <col min="13060" max="13060" width="6.140625" customWidth="1"/>
    <col min="13061" max="13061" width="12.42578125" customWidth="1"/>
    <col min="13065" max="13065" width="21.140625" customWidth="1"/>
    <col min="13312" max="13312" width="25.28515625" customWidth="1"/>
    <col min="13313" max="13313" width="17.28515625" customWidth="1"/>
    <col min="13314" max="13314" width="10.7109375" customWidth="1"/>
    <col min="13315" max="13315" width="9.42578125" customWidth="1"/>
    <col min="13316" max="13316" width="6.140625" customWidth="1"/>
    <col min="13317" max="13317" width="12.42578125" customWidth="1"/>
    <col min="13321" max="13321" width="21.140625" customWidth="1"/>
    <col min="13568" max="13568" width="25.28515625" customWidth="1"/>
    <col min="13569" max="13569" width="17.28515625" customWidth="1"/>
    <col min="13570" max="13570" width="10.7109375" customWidth="1"/>
    <col min="13571" max="13571" width="9.42578125" customWidth="1"/>
    <col min="13572" max="13572" width="6.140625" customWidth="1"/>
    <col min="13573" max="13573" width="12.42578125" customWidth="1"/>
    <col min="13577" max="13577" width="21.140625" customWidth="1"/>
    <col min="13824" max="13824" width="25.28515625" customWidth="1"/>
    <col min="13825" max="13825" width="17.28515625" customWidth="1"/>
    <col min="13826" max="13826" width="10.7109375" customWidth="1"/>
    <col min="13827" max="13827" width="9.42578125" customWidth="1"/>
    <col min="13828" max="13828" width="6.140625" customWidth="1"/>
    <col min="13829" max="13829" width="12.42578125" customWidth="1"/>
    <col min="13833" max="13833" width="21.140625" customWidth="1"/>
    <col min="14080" max="14080" width="25.28515625" customWidth="1"/>
    <col min="14081" max="14081" width="17.28515625" customWidth="1"/>
    <col min="14082" max="14082" width="10.7109375" customWidth="1"/>
    <col min="14083" max="14083" width="9.42578125" customWidth="1"/>
    <col min="14084" max="14084" width="6.140625" customWidth="1"/>
    <col min="14085" max="14085" width="12.42578125" customWidth="1"/>
    <col min="14089" max="14089" width="21.140625" customWidth="1"/>
    <col min="14336" max="14336" width="25.28515625" customWidth="1"/>
    <col min="14337" max="14337" width="17.28515625" customWidth="1"/>
    <col min="14338" max="14338" width="10.7109375" customWidth="1"/>
    <col min="14339" max="14339" width="9.42578125" customWidth="1"/>
    <col min="14340" max="14340" width="6.140625" customWidth="1"/>
    <col min="14341" max="14341" width="12.42578125" customWidth="1"/>
    <col min="14345" max="14345" width="21.140625" customWidth="1"/>
    <col min="14592" max="14592" width="25.28515625" customWidth="1"/>
    <col min="14593" max="14593" width="17.28515625" customWidth="1"/>
    <col min="14594" max="14594" width="10.7109375" customWidth="1"/>
    <col min="14595" max="14595" width="9.42578125" customWidth="1"/>
    <col min="14596" max="14596" width="6.140625" customWidth="1"/>
    <col min="14597" max="14597" width="12.42578125" customWidth="1"/>
    <col min="14601" max="14601" width="21.140625" customWidth="1"/>
    <col min="14848" max="14848" width="25.28515625" customWidth="1"/>
    <col min="14849" max="14849" width="17.28515625" customWidth="1"/>
    <col min="14850" max="14850" width="10.7109375" customWidth="1"/>
    <col min="14851" max="14851" width="9.42578125" customWidth="1"/>
    <col min="14852" max="14852" width="6.140625" customWidth="1"/>
    <col min="14853" max="14853" width="12.42578125" customWidth="1"/>
    <col min="14857" max="14857" width="21.140625" customWidth="1"/>
    <col min="15104" max="15104" width="25.28515625" customWidth="1"/>
    <col min="15105" max="15105" width="17.28515625" customWidth="1"/>
    <col min="15106" max="15106" width="10.7109375" customWidth="1"/>
    <col min="15107" max="15107" width="9.42578125" customWidth="1"/>
    <col min="15108" max="15108" width="6.140625" customWidth="1"/>
    <col min="15109" max="15109" width="12.42578125" customWidth="1"/>
    <col min="15113" max="15113" width="21.140625" customWidth="1"/>
    <col min="15360" max="15360" width="25.28515625" customWidth="1"/>
    <col min="15361" max="15361" width="17.28515625" customWidth="1"/>
    <col min="15362" max="15362" width="10.7109375" customWidth="1"/>
    <col min="15363" max="15363" width="9.42578125" customWidth="1"/>
    <col min="15364" max="15364" width="6.140625" customWidth="1"/>
    <col min="15365" max="15365" width="12.42578125" customWidth="1"/>
    <col min="15369" max="15369" width="21.140625" customWidth="1"/>
    <col min="15616" max="15616" width="25.28515625" customWidth="1"/>
    <col min="15617" max="15617" width="17.28515625" customWidth="1"/>
    <col min="15618" max="15618" width="10.7109375" customWidth="1"/>
    <col min="15619" max="15619" width="9.42578125" customWidth="1"/>
    <col min="15620" max="15620" width="6.140625" customWidth="1"/>
    <col min="15621" max="15621" width="12.42578125" customWidth="1"/>
    <col min="15625" max="15625" width="21.140625" customWidth="1"/>
    <col min="15872" max="15872" width="25.28515625" customWidth="1"/>
    <col min="15873" max="15873" width="17.28515625" customWidth="1"/>
    <col min="15874" max="15874" width="10.7109375" customWidth="1"/>
    <col min="15875" max="15875" width="9.42578125" customWidth="1"/>
    <col min="15876" max="15876" width="6.140625" customWidth="1"/>
    <col min="15877" max="15877" width="12.42578125" customWidth="1"/>
    <col min="15881" max="15881" width="21.140625" customWidth="1"/>
    <col min="16128" max="16128" width="25.28515625" customWidth="1"/>
    <col min="16129" max="16129" width="17.28515625" customWidth="1"/>
    <col min="16130" max="16130" width="10.7109375" customWidth="1"/>
    <col min="16131" max="16131" width="9.42578125" customWidth="1"/>
    <col min="16132" max="16132" width="6.140625" customWidth="1"/>
    <col min="16133" max="16133" width="12.42578125" customWidth="1"/>
    <col min="16137" max="16137" width="21.140625" customWidth="1"/>
  </cols>
  <sheetData>
    <row r="1" spans="1:20" ht="13.5" thickBot="1" x14ac:dyDescent="0.25">
      <c r="A1" s="763"/>
      <c r="B1" s="763"/>
      <c r="C1" s="763"/>
      <c r="D1" s="763"/>
      <c r="E1" s="763"/>
      <c r="F1" s="763"/>
      <c r="G1" s="763"/>
      <c r="H1" s="763"/>
      <c r="I1" s="763"/>
      <c r="J1" s="763"/>
      <c r="K1" s="763"/>
      <c r="L1" s="763"/>
    </row>
    <row r="2" spans="1:20" ht="19.5" thickBot="1" x14ac:dyDescent="0.25">
      <c r="A2" s="763"/>
      <c r="B2" s="895" t="s">
        <v>224</v>
      </c>
      <c r="C2" s="896"/>
      <c r="D2" s="896"/>
      <c r="E2" s="896"/>
      <c r="F2" s="896"/>
      <c r="G2" s="896"/>
      <c r="H2" s="896"/>
      <c r="I2" s="897"/>
      <c r="J2" s="763"/>
      <c r="K2" s="763"/>
      <c r="L2" s="763"/>
    </row>
    <row r="3" spans="1:20" ht="26.25" customHeight="1" x14ac:dyDescent="0.2">
      <c r="A3" s="763"/>
      <c r="B3" s="898" t="s">
        <v>258</v>
      </c>
      <c r="C3" s="898"/>
      <c r="D3" s="898"/>
      <c r="E3" s="898"/>
      <c r="F3" s="898"/>
      <c r="G3" s="898"/>
      <c r="H3" s="898"/>
      <c r="I3" s="898"/>
      <c r="J3" s="763"/>
      <c r="K3" s="763"/>
      <c r="L3" s="763"/>
    </row>
    <row r="4" spans="1:20" ht="18.75" thickBot="1" x14ac:dyDescent="0.25">
      <c r="A4" s="763"/>
      <c r="B4" s="764"/>
      <c r="C4" s="764"/>
      <c r="D4" s="764"/>
      <c r="E4" s="764"/>
      <c r="F4" s="764"/>
      <c r="G4" s="764"/>
      <c r="H4" s="764"/>
      <c r="I4" s="764"/>
      <c r="J4" s="763"/>
      <c r="K4" s="763"/>
      <c r="L4" s="763"/>
    </row>
    <row r="5" spans="1:20" s="380" customFormat="1" ht="15" x14ac:dyDescent="0.25">
      <c r="A5" s="765"/>
      <c r="B5" s="766" t="s">
        <v>259</v>
      </c>
      <c r="C5" s="767" t="s">
        <v>260</v>
      </c>
      <c r="D5" s="767"/>
      <c r="E5" s="767"/>
      <c r="F5" s="767"/>
      <c r="G5" s="767"/>
      <c r="H5" s="767"/>
      <c r="I5" s="768"/>
      <c r="J5" s="765"/>
      <c r="K5" s="765"/>
      <c r="L5" s="765"/>
    </row>
    <row r="6" spans="1:20" s="380" customFormat="1" ht="15" x14ac:dyDescent="0.25">
      <c r="A6" s="765"/>
      <c r="B6" s="769" t="s">
        <v>261</v>
      </c>
      <c r="C6" s="828">
        <v>2.9000000000000001E-2</v>
      </c>
      <c r="D6" s="770" t="s">
        <v>262</v>
      </c>
      <c r="E6" s="829">
        <v>4.91</v>
      </c>
      <c r="F6" s="771" t="s">
        <v>85</v>
      </c>
      <c r="G6" s="772"/>
      <c r="H6" s="773" t="s">
        <v>263</v>
      </c>
      <c r="I6" s="382">
        <f>E6*C6</f>
        <v>0.14239000000000002</v>
      </c>
      <c r="J6" s="765"/>
      <c r="K6" s="765"/>
      <c r="L6" s="765"/>
    </row>
    <row r="7" spans="1:20" s="380" customFormat="1" ht="15" x14ac:dyDescent="0.25">
      <c r="A7" s="765"/>
      <c r="B7" s="769" t="s">
        <v>264</v>
      </c>
      <c r="C7" s="836">
        <v>0.85</v>
      </c>
      <c r="D7" s="771"/>
      <c r="E7" s="771"/>
      <c r="F7" s="771"/>
      <c r="G7" s="771"/>
      <c r="H7" s="771"/>
      <c r="I7" s="774"/>
      <c r="J7" s="765"/>
      <c r="K7" s="765"/>
      <c r="L7" s="765"/>
    </row>
    <row r="8" spans="1:20" s="380" customFormat="1" ht="15.75" thickBot="1" x14ac:dyDescent="0.3">
      <c r="A8" s="765"/>
      <c r="B8" s="775" t="s">
        <v>265</v>
      </c>
      <c r="C8" s="776">
        <f>I6*C7</f>
        <v>0.12103150000000001</v>
      </c>
      <c r="D8" s="777"/>
      <c r="E8" s="777"/>
      <c r="F8" s="777"/>
      <c r="G8" s="777"/>
      <c r="H8" s="777"/>
      <c r="I8" s="778"/>
      <c r="J8" s="765"/>
      <c r="K8" s="765"/>
      <c r="L8" s="765"/>
    </row>
    <row r="9" spans="1:20" s="380" customFormat="1" ht="10.5" customHeight="1" thickBot="1" x14ac:dyDescent="0.3">
      <c r="A9" s="765"/>
      <c r="B9" s="765"/>
      <c r="C9" s="765"/>
      <c r="D9" s="765"/>
      <c r="E9" s="765"/>
      <c r="F9" s="765"/>
      <c r="G9" s="765"/>
      <c r="H9" s="765"/>
      <c r="I9" s="765"/>
      <c r="J9" s="765"/>
      <c r="K9" s="765"/>
      <c r="L9" s="765"/>
    </row>
    <row r="10" spans="1:20" s="386" customFormat="1" ht="15.75" hidden="1" thickBot="1" x14ac:dyDescent="0.3">
      <c r="A10" s="765"/>
      <c r="B10" s="779"/>
      <c r="C10" s="780"/>
      <c r="D10" s="781"/>
      <c r="E10" s="782"/>
      <c r="F10" s="765"/>
      <c r="G10" s="765"/>
      <c r="H10" s="765"/>
      <c r="I10" s="765"/>
      <c r="J10" s="765"/>
      <c r="K10" s="765"/>
      <c r="L10" s="765"/>
    </row>
    <row r="11" spans="1:20" s="380" customFormat="1" ht="15.75" hidden="1" thickBot="1" x14ac:dyDescent="0.3">
      <c r="A11" s="765"/>
      <c r="B11" s="783" t="s">
        <v>225</v>
      </c>
      <c r="C11" s="765"/>
      <c r="D11" s="765"/>
      <c r="E11" s="765"/>
      <c r="F11" s="765"/>
      <c r="G11" s="765"/>
      <c r="H11" s="765"/>
      <c r="I11" s="765"/>
      <c r="J11" s="765"/>
      <c r="K11" s="765"/>
      <c r="L11" s="765"/>
      <c r="M11" s="386"/>
      <c r="N11" s="386"/>
      <c r="S11" s="386"/>
      <c r="T11" s="386"/>
    </row>
    <row r="12" spans="1:20" s="380" customFormat="1" ht="19.5" hidden="1" thickBot="1" x14ac:dyDescent="0.4">
      <c r="A12" s="765"/>
      <c r="B12" s="765" t="s">
        <v>59</v>
      </c>
      <c r="C12" s="765"/>
      <c r="D12" s="784" t="s">
        <v>266</v>
      </c>
      <c r="E12" s="765"/>
      <c r="F12" s="765"/>
      <c r="G12" s="765"/>
      <c r="H12" s="765"/>
      <c r="I12" s="765"/>
      <c r="J12" s="765"/>
      <c r="K12" s="765"/>
      <c r="L12" s="765"/>
      <c r="M12" s="386"/>
      <c r="N12" s="386"/>
      <c r="S12" s="386"/>
      <c r="T12" s="386"/>
    </row>
    <row r="13" spans="1:20" s="380" customFormat="1" ht="18" hidden="1" thickBot="1" x14ac:dyDescent="0.3">
      <c r="A13" s="765"/>
      <c r="B13" s="785" t="s">
        <v>226</v>
      </c>
      <c r="C13" s="765"/>
      <c r="D13" s="784"/>
      <c r="E13" s="765"/>
      <c r="F13" s="765"/>
      <c r="G13" s="784" t="s">
        <v>267</v>
      </c>
      <c r="H13" s="765"/>
      <c r="I13" s="765"/>
      <c r="J13" s="765"/>
      <c r="K13" s="765"/>
      <c r="L13" s="765"/>
      <c r="M13" s="386"/>
      <c r="N13" s="386"/>
      <c r="S13" s="386"/>
      <c r="T13" s="386"/>
    </row>
    <row r="14" spans="1:20" s="380" customFormat="1" ht="33" customHeight="1" thickBot="1" x14ac:dyDescent="0.3">
      <c r="A14" s="765"/>
      <c r="B14" s="899" t="s">
        <v>227</v>
      </c>
      <c r="C14" s="900"/>
      <c r="D14" s="900"/>
      <c r="E14" s="901"/>
      <c r="F14" s="765"/>
      <c r="G14" s="786" t="s">
        <v>285</v>
      </c>
      <c r="H14" s="787"/>
      <c r="I14" s="787"/>
      <c r="J14" s="787"/>
      <c r="K14" s="788"/>
      <c r="L14" s="765"/>
      <c r="M14" s="386"/>
      <c r="N14" s="386"/>
      <c r="S14" s="386"/>
      <c r="T14" s="386"/>
    </row>
    <row r="15" spans="1:20" s="380" customFormat="1" ht="15.75" x14ac:dyDescent="0.25">
      <c r="A15" s="765"/>
      <c r="B15" s="789" t="s">
        <v>106</v>
      </c>
      <c r="C15" s="389">
        <f>I6</f>
        <v>0.14239000000000002</v>
      </c>
      <c r="D15" s="790" t="s">
        <v>60</v>
      </c>
      <c r="E15" s="791">
        <f>1-C15</f>
        <v>0.85760999999999998</v>
      </c>
      <c r="F15" s="785"/>
      <c r="G15" s="792" t="s">
        <v>233</v>
      </c>
      <c r="H15" s="793"/>
      <c r="I15" s="787"/>
      <c r="J15" s="787"/>
      <c r="K15" s="788"/>
      <c r="L15" s="765"/>
      <c r="M15" s="386"/>
      <c r="N15" s="386"/>
      <c r="S15" s="386"/>
      <c r="T15" s="386"/>
    </row>
    <row r="16" spans="1:20" s="380" customFormat="1" ht="15.75" x14ac:dyDescent="0.25">
      <c r="A16" s="765"/>
      <c r="B16" s="794" t="s">
        <v>228</v>
      </c>
      <c r="C16" s="390">
        <f>C8</f>
        <v>0.12103150000000001</v>
      </c>
      <c r="D16" s="795" t="s">
        <v>61</v>
      </c>
      <c r="E16" s="796">
        <f>1-C16</f>
        <v>0.87896850000000004</v>
      </c>
      <c r="F16" s="785"/>
      <c r="G16" s="797" t="s">
        <v>257</v>
      </c>
      <c r="H16" s="793"/>
      <c r="I16" s="787"/>
      <c r="J16" s="787"/>
      <c r="K16" s="788"/>
      <c r="L16" s="765"/>
      <c r="M16" s="386"/>
      <c r="N16" s="386"/>
      <c r="S16" s="386"/>
      <c r="T16" s="386"/>
    </row>
    <row r="17" spans="1:20" s="380" customFormat="1" ht="15.75" x14ac:dyDescent="0.25">
      <c r="A17" s="765"/>
      <c r="B17" s="798" t="s">
        <v>196</v>
      </c>
      <c r="C17" s="799">
        <f>(C15+C16)/2</f>
        <v>0.13171075000000002</v>
      </c>
      <c r="D17" s="795" t="s">
        <v>62</v>
      </c>
      <c r="E17" s="796">
        <f>1-C17</f>
        <v>0.86828925000000001</v>
      </c>
      <c r="F17" s="785"/>
      <c r="G17" s="787"/>
      <c r="H17" s="787"/>
      <c r="I17" s="800"/>
      <c r="J17" s="787"/>
      <c r="K17" s="788"/>
      <c r="L17" s="765"/>
      <c r="M17" s="386"/>
      <c r="N17" s="386"/>
      <c r="S17" s="386"/>
      <c r="T17" s="386"/>
    </row>
    <row r="18" spans="1:20" s="380" customFormat="1" ht="15.75" x14ac:dyDescent="0.25">
      <c r="A18" s="765"/>
      <c r="B18" s="798" t="s">
        <v>63</v>
      </c>
      <c r="C18" s="830">
        <v>0.05</v>
      </c>
      <c r="D18" s="801" t="s">
        <v>64</v>
      </c>
      <c r="E18" s="796">
        <f>-NORMSINV((C18*100/2)/100)</f>
        <v>1.9599639845400538</v>
      </c>
      <c r="F18" s="785"/>
      <c r="G18" s="802" t="s">
        <v>199</v>
      </c>
      <c r="H18" s="803"/>
      <c r="I18" s="804"/>
      <c r="J18" s="803"/>
      <c r="K18" s="805"/>
      <c r="L18" s="765"/>
      <c r="M18" s="386"/>
      <c r="N18" s="386"/>
      <c r="S18" s="386"/>
      <c r="T18" s="386"/>
    </row>
    <row r="19" spans="1:20" s="380" customFormat="1" ht="15.75" x14ac:dyDescent="0.25">
      <c r="A19" s="765"/>
      <c r="B19" s="798" t="s">
        <v>65</v>
      </c>
      <c r="C19" s="830">
        <v>0.11</v>
      </c>
      <c r="D19" s="801" t="s">
        <v>66</v>
      </c>
      <c r="E19" s="796">
        <f>-NORMSINV(C19)</f>
        <v>1.2265281200366105</v>
      </c>
      <c r="F19" s="785"/>
      <c r="G19" s="806">
        <f>C15*C22</f>
        <v>724.90749000000005</v>
      </c>
      <c r="H19" s="807" t="s">
        <v>271</v>
      </c>
      <c r="I19" s="808"/>
      <c r="J19" s="809"/>
      <c r="K19" s="805"/>
      <c r="L19" s="765"/>
      <c r="M19" s="386"/>
      <c r="N19" s="386"/>
      <c r="S19" s="386"/>
      <c r="T19" s="386"/>
    </row>
    <row r="20" spans="1:20" s="380" customFormat="1" ht="15.75" x14ac:dyDescent="0.25">
      <c r="A20" s="765"/>
      <c r="B20" s="798" t="s">
        <v>229</v>
      </c>
      <c r="C20" s="810">
        <f>2*C17*E17*(E18+E19)^2</f>
        <v>2.3224230654002893</v>
      </c>
      <c r="D20" s="770"/>
      <c r="E20" s="774"/>
      <c r="F20" s="785"/>
      <c r="G20" s="811">
        <f>C16*C22</f>
        <v>616.17136650000009</v>
      </c>
      <c r="H20" s="812" t="s">
        <v>272</v>
      </c>
      <c r="I20" s="813"/>
      <c r="J20" s="814"/>
      <c r="K20" s="815"/>
      <c r="L20" s="765"/>
      <c r="M20" s="386"/>
      <c r="N20" s="386"/>
      <c r="S20" s="386"/>
      <c r="T20" s="386"/>
    </row>
    <row r="21" spans="1:20" s="380" customFormat="1" ht="15.75" x14ac:dyDescent="0.25">
      <c r="A21" s="765"/>
      <c r="B21" s="798" t="s">
        <v>230</v>
      </c>
      <c r="C21" s="816">
        <f>(C15-C16)^2</f>
        <v>4.5618552225000009E-4</v>
      </c>
      <c r="D21" s="771"/>
      <c r="E21" s="774"/>
      <c r="F21" s="785"/>
      <c r="G21" s="817">
        <v>1340.4166693500001</v>
      </c>
      <c r="H21" s="802" t="s">
        <v>198</v>
      </c>
      <c r="I21" s="803"/>
      <c r="J21" s="803"/>
      <c r="K21" s="805"/>
      <c r="L21" s="765"/>
      <c r="M21" s="386"/>
      <c r="N21" s="386"/>
      <c r="S21" s="386"/>
      <c r="T21" s="386"/>
    </row>
    <row r="22" spans="1:20" s="380" customFormat="1" ht="15" x14ac:dyDescent="0.25">
      <c r="A22" s="765"/>
      <c r="B22" s="818" t="s">
        <v>57</v>
      </c>
      <c r="C22" s="391">
        <f>ROUNDUP(C20/C21,0)</f>
        <v>5091</v>
      </c>
      <c r="D22" s="819"/>
      <c r="E22" s="774"/>
      <c r="F22" s="785"/>
      <c r="G22" s="765"/>
      <c r="H22" s="765"/>
      <c r="I22" s="765"/>
      <c r="J22" s="765"/>
      <c r="K22" s="765"/>
      <c r="L22" s="765"/>
      <c r="M22" s="386"/>
      <c r="N22" s="386"/>
      <c r="S22" s="386"/>
      <c r="T22" s="386"/>
    </row>
    <row r="23" spans="1:20" s="380" customFormat="1" ht="15.75" thickBot="1" x14ac:dyDescent="0.3">
      <c r="A23" s="765"/>
      <c r="B23" s="820" t="s">
        <v>58</v>
      </c>
      <c r="C23" s="392">
        <f>C22*2</f>
        <v>10182</v>
      </c>
      <c r="D23" s="821"/>
      <c r="E23" s="778"/>
      <c r="F23" s="785"/>
      <c r="G23" s="785"/>
      <c r="H23" s="785"/>
      <c r="I23" s="822"/>
      <c r="J23" s="785"/>
      <c r="K23" s="765"/>
      <c r="L23" s="765"/>
      <c r="M23" s="386"/>
      <c r="N23" s="386"/>
      <c r="S23" s="386"/>
      <c r="T23" s="386"/>
    </row>
    <row r="24" spans="1:20" s="380" customFormat="1" ht="15" x14ac:dyDescent="0.25">
      <c r="A24" s="765"/>
      <c r="B24" s="765"/>
      <c r="C24" s="765"/>
      <c r="D24" s="765"/>
      <c r="E24" s="765"/>
      <c r="F24" s="765"/>
      <c r="G24" s="765"/>
      <c r="H24" s="823"/>
      <c r="I24" s="765"/>
      <c r="J24" s="765"/>
      <c r="K24" s="765"/>
      <c r="L24" s="765"/>
    </row>
    <row r="25" spans="1:20" s="380" customFormat="1" ht="15" x14ac:dyDescent="0.25">
      <c r="A25" s="765"/>
      <c r="B25" s="824" t="s">
        <v>201</v>
      </c>
      <c r="C25" s="825"/>
      <c r="D25" s="824" t="s">
        <v>200</v>
      </c>
      <c r="E25" s="765"/>
      <c r="F25" s="765"/>
      <c r="G25" s="765"/>
      <c r="H25" s="765"/>
      <c r="I25" s="765"/>
      <c r="J25" s="765"/>
      <c r="K25" s="765"/>
      <c r="L25" s="765"/>
    </row>
    <row r="26" spans="1:20" s="380" customFormat="1" ht="15" x14ac:dyDescent="0.25">
      <c r="A26" s="765"/>
      <c r="B26" s="765"/>
      <c r="C26" s="765"/>
      <c r="D26" s="765"/>
      <c r="E26" s="765"/>
      <c r="F26" s="765"/>
      <c r="G26" s="765"/>
      <c r="H26" s="765"/>
      <c r="I26" s="765"/>
      <c r="J26" s="765"/>
      <c r="K26" s="765"/>
      <c r="L26" s="765"/>
    </row>
    <row r="27" spans="1:20" s="380" customFormat="1" ht="15" x14ac:dyDescent="0.25">
      <c r="A27" s="765"/>
      <c r="B27" s="826" t="s">
        <v>268</v>
      </c>
      <c r="C27" s="831">
        <v>0</v>
      </c>
      <c r="D27" s="785" t="s">
        <v>269</v>
      </c>
      <c r="E27" s="391">
        <f>C22*1/(1-C27)</f>
        <v>5091</v>
      </c>
      <c r="F27" s="765" t="s">
        <v>270</v>
      </c>
      <c r="G27" s="825"/>
      <c r="H27" s="825"/>
      <c r="I27" s="765"/>
      <c r="J27" s="765"/>
      <c r="K27" s="765"/>
      <c r="L27" s="765"/>
    </row>
    <row r="28" spans="1:20" s="394" customFormat="1" ht="6.75" customHeight="1" x14ac:dyDescent="0.2">
      <c r="A28" s="827"/>
      <c r="B28" s="827"/>
      <c r="C28" s="827"/>
      <c r="D28" s="827"/>
      <c r="E28" s="827"/>
      <c r="F28" s="827"/>
      <c r="G28" s="827"/>
      <c r="H28" s="827"/>
      <c r="I28" s="788"/>
      <c r="J28" s="827"/>
      <c r="K28" s="827"/>
      <c r="L28" s="827"/>
    </row>
    <row r="29" spans="1:20" s="394" customFormat="1" ht="15" x14ac:dyDescent="0.25">
      <c r="D29" s="395"/>
      <c r="E29" s="396"/>
      <c r="I29" s="5"/>
    </row>
    <row r="30" spans="1:20" s="394" customFormat="1" ht="15" x14ac:dyDescent="0.25">
      <c r="D30" s="395"/>
      <c r="E30" s="396"/>
      <c r="I30" s="5"/>
      <c r="J30" s="4"/>
      <c r="K30" s="4"/>
      <c r="L30" s="4"/>
      <c r="M30" s="4"/>
      <c r="N30" s="4"/>
      <c r="O30" s="4"/>
      <c r="P30" s="4"/>
    </row>
    <row r="31" spans="1:20" x14ac:dyDescent="0.2">
      <c r="J31" s="398"/>
      <c r="K31" s="397"/>
      <c r="L31" s="397"/>
      <c r="M31" s="398"/>
      <c r="N31" s="397"/>
      <c r="O31" s="397"/>
      <c r="P31" s="399"/>
    </row>
    <row r="32" spans="1:20" x14ac:dyDescent="0.2">
      <c r="E32" s="400"/>
      <c r="J32" s="401"/>
      <c r="K32" s="402"/>
      <c r="L32" s="402"/>
      <c r="M32" s="402"/>
      <c r="N32" s="403"/>
      <c r="O32" s="402"/>
      <c r="P32" s="404"/>
    </row>
    <row r="33" spans="7:9" x14ac:dyDescent="0.2">
      <c r="G33" s="405"/>
      <c r="H33" s="405"/>
      <c r="I33" s="405"/>
    </row>
  </sheetData>
  <mergeCells count="3">
    <mergeCell ref="B2:I2"/>
    <mergeCell ref="B3:I3"/>
    <mergeCell ref="B14:E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workbookViewId="0">
      <selection activeCell="G16" sqref="G16"/>
    </sheetView>
  </sheetViews>
  <sheetFormatPr baseColWidth="10" defaultRowHeight="12.75" x14ac:dyDescent="0.2"/>
  <cols>
    <col min="1" max="1" width="11.42578125" style="5"/>
    <col min="2" max="2" width="31.42578125" style="5" customWidth="1"/>
    <col min="3" max="3" width="15.140625" style="5" bestFit="1" customWidth="1"/>
    <col min="4" max="4" width="17.42578125" style="5" customWidth="1"/>
    <col min="5" max="5" width="15.140625" style="5" customWidth="1"/>
    <col min="6" max="6" width="14.7109375" style="5" customWidth="1"/>
    <col min="7" max="7" width="15.42578125" style="5" customWidth="1"/>
    <col min="8" max="16384" width="11.42578125" style="5"/>
  </cols>
  <sheetData>
    <row r="1" spans="2:7" ht="13.5" thickBot="1" x14ac:dyDescent="0.25"/>
    <row r="2" spans="2:7" ht="29.25" customHeight="1" thickBot="1" x14ac:dyDescent="0.25">
      <c r="B2" s="906" t="s">
        <v>182</v>
      </c>
      <c r="C2" s="907"/>
      <c r="D2" s="907"/>
      <c r="E2" s="907"/>
      <c r="F2" s="907"/>
      <c r="G2" s="908"/>
    </row>
    <row r="3" spans="2:7" ht="18.75" x14ac:dyDescent="0.3">
      <c r="B3" s="911" t="s">
        <v>231</v>
      </c>
      <c r="C3" s="909" t="s">
        <v>185</v>
      </c>
      <c r="D3" s="910"/>
      <c r="E3" s="909" t="s">
        <v>186</v>
      </c>
      <c r="F3" s="910"/>
      <c r="G3" s="913" t="s">
        <v>176</v>
      </c>
    </row>
    <row r="4" spans="2:7" ht="18.75" x14ac:dyDescent="0.3">
      <c r="B4" s="912"/>
      <c r="C4" s="335" t="s">
        <v>177</v>
      </c>
      <c r="D4" s="336" t="s">
        <v>178</v>
      </c>
      <c r="E4" s="335" t="s">
        <v>183</v>
      </c>
      <c r="F4" s="336" t="s">
        <v>184</v>
      </c>
      <c r="G4" s="914"/>
    </row>
    <row r="5" spans="2:7" ht="18.75" x14ac:dyDescent="0.3">
      <c r="B5" s="337" t="s">
        <v>179</v>
      </c>
      <c r="C5" s="335">
        <v>1178</v>
      </c>
      <c r="D5" s="336">
        <v>1193</v>
      </c>
      <c r="E5" s="335">
        <v>1383</v>
      </c>
      <c r="F5" s="336">
        <v>1374</v>
      </c>
      <c r="G5" s="338">
        <f>SUM(C5:F5)</f>
        <v>5128</v>
      </c>
    </row>
    <row r="6" spans="2:7" ht="18.75" x14ac:dyDescent="0.3">
      <c r="B6" s="337" t="s">
        <v>180</v>
      </c>
      <c r="C6" s="335">
        <v>1184</v>
      </c>
      <c r="D6" s="336">
        <v>1178</v>
      </c>
      <c r="E6" s="335">
        <v>1370</v>
      </c>
      <c r="F6" s="336">
        <v>1391</v>
      </c>
      <c r="G6" s="338">
        <f>SUM(C6:F6)</f>
        <v>5123</v>
      </c>
    </row>
    <row r="7" spans="2:7" ht="19.5" thickBot="1" x14ac:dyDescent="0.35">
      <c r="B7" s="339" t="s">
        <v>232</v>
      </c>
      <c r="C7" s="340">
        <f>SUM(C5:C6)</f>
        <v>2362</v>
      </c>
      <c r="D7" s="341">
        <f>SUM(D5:D6)</f>
        <v>2371</v>
      </c>
      <c r="E7" s="340">
        <f>SUM(E5:E6)</f>
        <v>2753</v>
      </c>
      <c r="F7" s="341">
        <f>SUM(F5:F6)</f>
        <v>2765</v>
      </c>
      <c r="G7" s="904">
        <f>SUM(G5:G6)</f>
        <v>10251</v>
      </c>
    </row>
    <row r="8" spans="2:7" ht="19.5" thickBot="1" x14ac:dyDescent="0.35">
      <c r="B8" s="339" t="s">
        <v>181</v>
      </c>
      <c r="C8" s="902">
        <f>C7+D7</f>
        <v>4733</v>
      </c>
      <c r="D8" s="903"/>
      <c r="E8" s="902">
        <f>E7+F7</f>
        <v>5518</v>
      </c>
      <c r="F8" s="903"/>
      <c r="G8" s="905"/>
    </row>
    <row r="15" spans="2:7" x14ac:dyDescent="0.2">
      <c r="G15" s="334"/>
    </row>
  </sheetData>
  <mergeCells count="8">
    <mergeCell ref="C8:D8"/>
    <mergeCell ref="E8:F8"/>
    <mergeCell ref="G7:G8"/>
    <mergeCell ref="B2:G2"/>
    <mergeCell ref="C3:D3"/>
    <mergeCell ref="E3:F3"/>
    <mergeCell ref="B3:B4"/>
    <mergeCell ref="G3:G4"/>
  </mergeCells>
  <phoneticPr fontId="2" type="noConversion"/>
  <pageMargins left="0.75" right="0.75" top="1" bottom="1" header="0" footer="0"/>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Inc Acumul</vt:lpstr>
      <vt:lpstr>NNT desde HR</vt:lpstr>
      <vt:lpstr>Dif Medias</vt:lpstr>
      <vt:lpstr>Tamaño por RR</vt:lpstr>
      <vt:lpstr>Doble 2x2 factorial</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cp:lastModifiedBy>
  <cp:lastPrinted>2012-06-13T14:26:24Z</cp:lastPrinted>
  <dcterms:created xsi:type="dcterms:W3CDTF">2009-05-28T14:19:22Z</dcterms:created>
  <dcterms:modified xsi:type="dcterms:W3CDTF">2019-12-23T12:17:17Z</dcterms:modified>
</cp:coreProperties>
</file>